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xi\Desktop\MAU\2017\MIGRACIÓN\"/>
    </mc:Choice>
  </mc:AlternateContent>
  <bookViews>
    <workbookView xWindow="0" yWindow="0" windowWidth="15528" windowHeight="7224" tabRatio="653"/>
  </bookViews>
  <sheets>
    <sheet name="1.1. Pob.mun. y tot. mig" sheetId="17" r:id="rId1"/>
    <sheet name="1.2. Tasas crecimiento inmi." sheetId="12" r:id="rId2"/>
    <sheet name="1.3. Inmig prin." sheetId="3" r:id="rId3"/>
    <sheet name="1.4. Emig. prin." sheetId="14" r:id="rId4"/>
    <sheet name="1.5. Sexo y edad" sheetId="2" r:id="rId5"/>
    <sheet name="1.6. Stock migratorio" sheetId="18" r:id="rId6"/>
  </sheets>
  <definedNames>
    <definedName name="_xlnm._FilterDatabase" localSheetId="2" hidden="1">'1.3. Inmig prin.'!$C$9:$J$9</definedName>
    <definedName name="_xlnm._FilterDatabase" localSheetId="3" hidden="1">'1.4. Emig. prin.'!$C$9:$J$9</definedName>
  </definedNames>
  <calcPr calcId="152511"/>
</workbook>
</file>

<file path=xl/calcChain.xml><?xml version="1.0" encoding="utf-8"?>
<calcChain xmlns="http://schemas.openxmlformats.org/spreadsheetml/2006/main">
  <c r="K30" i="12" l="1"/>
  <c r="K29" i="12"/>
  <c r="K28" i="12"/>
  <c r="K27" i="12"/>
  <c r="K26" i="12"/>
  <c r="K25" i="12"/>
  <c r="K24" i="12"/>
  <c r="K23" i="12"/>
  <c r="K22" i="12"/>
  <c r="K18" i="12"/>
  <c r="H20" i="12"/>
  <c r="G20" i="12"/>
  <c r="K20" i="12" s="1"/>
  <c r="F20" i="12"/>
  <c r="H19" i="12"/>
  <c r="G19" i="12"/>
  <c r="K19" i="12" s="1"/>
  <c r="F19" i="12"/>
  <c r="H18" i="12"/>
  <c r="G18" i="12"/>
  <c r="F18" i="12"/>
  <c r="H17" i="12"/>
  <c r="G17" i="12"/>
  <c r="K17" i="12" s="1"/>
  <c r="F17" i="12"/>
  <c r="H16" i="12"/>
  <c r="G16" i="12"/>
  <c r="K16" i="12" s="1"/>
  <c r="F16" i="12"/>
  <c r="H15" i="12"/>
  <c r="G15" i="12"/>
  <c r="K15" i="12" s="1"/>
  <c r="F15" i="12"/>
  <c r="H12" i="12"/>
  <c r="G12" i="12"/>
  <c r="K12" i="12" s="1"/>
  <c r="F12" i="12"/>
  <c r="H11" i="12"/>
  <c r="G11" i="12"/>
  <c r="K11" i="12" s="1"/>
  <c r="F11" i="12"/>
  <c r="H10" i="12"/>
  <c r="G10" i="12"/>
  <c r="K10" i="12" s="1"/>
  <c r="F10" i="12"/>
  <c r="H14" i="12" l="1"/>
  <c r="G14" i="12"/>
  <c r="K14" i="12" s="1"/>
  <c r="F14" i="12"/>
  <c r="M20" i="17" l="1"/>
  <c r="J20" i="17"/>
  <c r="I20" i="17"/>
  <c r="S20" i="17" s="1"/>
  <c r="G20" i="17"/>
  <c r="F20" i="17"/>
  <c r="P20" i="17" s="1"/>
  <c r="D20" i="17"/>
  <c r="M19" i="17"/>
  <c r="J19" i="17"/>
  <c r="I19" i="17"/>
  <c r="G19" i="17"/>
  <c r="Q19" i="17" s="1"/>
  <c r="F19" i="17"/>
  <c r="D19" i="17"/>
  <c r="N19" i="17" s="1"/>
  <c r="M18" i="17"/>
  <c r="J18" i="17"/>
  <c r="I18" i="17"/>
  <c r="S19" i="17" s="1"/>
  <c r="G18" i="17"/>
  <c r="F18" i="17"/>
  <c r="P18" i="17" s="1"/>
  <c r="D18" i="17"/>
  <c r="M17" i="17"/>
  <c r="J17" i="17"/>
  <c r="I17" i="17"/>
  <c r="G17" i="17"/>
  <c r="Q18" i="17" s="1"/>
  <c r="F17" i="17"/>
  <c r="D17" i="17"/>
  <c r="N18" i="17" s="1"/>
  <c r="M16" i="17"/>
  <c r="J16" i="17"/>
  <c r="T17" i="17" s="1"/>
  <c r="I16" i="17"/>
  <c r="G16" i="17"/>
  <c r="Q17" i="17" s="1"/>
  <c r="F16" i="17"/>
  <c r="D16" i="17"/>
  <c r="Q15" i="17"/>
  <c r="M15" i="17"/>
  <c r="J15" i="17"/>
  <c r="T15" i="17" s="1"/>
  <c r="I15" i="17"/>
  <c r="S15" i="17" s="1"/>
  <c r="G15" i="17"/>
  <c r="F15" i="17"/>
  <c r="D15" i="17"/>
  <c r="T14" i="17"/>
  <c r="S14" i="17"/>
  <c r="M14" i="17"/>
  <c r="G14" i="17"/>
  <c r="F14" i="17"/>
  <c r="P15" i="17" s="1"/>
  <c r="D14" i="17"/>
  <c r="T13" i="17"/>
  <c r="S13" i="17"/>
  <c r="M13" i="17"/>
  <c r="G13" i="17"/>
  <c r="Q14" i="17" s="1"/>
  <c r="F13" i="17"/>
  <c r="D13" i="17"/>
  <c r="T12" i="17"/>
  <c r="S12" i="17"/>
  <c r="M12" i="17"/>
  <c r="G12" i="17"/>
  <c r="F12" i="17"/>
  <c r="D12" i="17"/>
  <c r="T11" i="17"/>
  <c r="S11" i="17"/>
  <c r="M11" i="17"/>
  <c r="G11" i="17"/>
  <c r="F11" i="17"/>
  <c r="D11" i="17"/>
  <c r="T10" i="17"/>
  <c r="S10" i="17"/>
  <c r="M10" i="17"/>
  <c r="G10" i="17"/>
  <c r="Q10" i="17" s="1"/>
  <c r="F10" i="17"/>
  <c r="D10" i="17"/>
  <c r="G9" i="17"/>
  <c r="F9" i="17"/>
  <c r="D9" i="17"/>
  <c r="N11" i="17" l="1"/>
  <c r="Q11" i="17"/>
  <c r="N12" i="17"/>
  <c r="Q12" i="17"/>
  <c r="N13" i="17"/>
  <c r="Q13" i="17"/>
  <c r="S16" i="17"/>
  <c r="N10" i="17"/>
  <c r="P10" i="17"/>
  <c r="P11" i="17"/>
  <c r="P12" i="17"/>
  <c r="P13" i="17"/>
  <c r="N14" i="17"/>
  <c r="P14" i="17"/>
  <c r="N16" i="17"/>
  <c r="N15" i="17"/>
  <c r="P16" i="17"/>
  <c r="S17" i="17"/>
  <c r="N17" i="17"/>
  <c r="T19" i="17"/>
  <c r="P19" i="17"/>
  <c r="Q20" i="17"/>
  <c r="T20" i="17"/>
  <c r="T16" i="17"/>
  <c r="P17" i="17"/>
  <c r="N20" i="17"/>
  <c r="S18" i="17"/>
  <c r="Q16" i="17"/>
  <c r="T18" i="17"/>
  <c r="F47" i="2" l="1"/>
  <c r="F29" i="2"/>
  <c r="D47" i="2"/>
  <c r="D29" i="2"/>
  <c r="D11" i="2" l="1"/>
  <c r="F11" i="2"/>
  <c r="F7" i="2"/>
  <c r="F8" i="14" l="1"/>
  <c r="D8" i="14"/>
  <c r="D31" i="14" s="1"/>
  <c r="F7" i="14"/>
  <c r="D8" i="3"/>
  <c r="D31" i="3" s="1"/>
  <c r="F8" i="3"/>
  <c r="F7" i="3"/>
  <c r="F31" i="3" l="1"/>
  <c r="F31" i="14"/>
</calcChain>
</file>

<file path=xl/sharedStrings.xml><?xml version="1.0" encoding="utf-8"?>
<sst xmlns="http://schemas.openxmlformats.org/spreadsheetml/2006/main" count="243" uniqueCount="131">
  <si>
    <t>Hombres</t>
  </si>
  <si>
    <t>Mujeres</t>
  </si>
  <si>
    <t>Total</t>
  </si>
  <si>
    <t>Sexo</t>
  </si>
  <si>
    <t xml:space="preserve">   0-4</t>
  </si>
  <si>
    <t xml:space="preserve">   5-9</t>
  </si>
  <si>
    <t xml:space="preserve">   10-14</t>
  </si>
  <si>
    <t xml:space="preserve">   15-19</t>
  </si>
  <si>
    <t xml:space="preserve">   20-24</t>
  </si>
  <si>
    <t xml:space="preserve">   25-29</t>
  </si>
  <si>
    <t xml:space="preserve">   30-34</t>
  </si>
  <si>
    <t xml:space="preserve">   35-39</t>
  </si>
  <si>
    <t xml:space="preserve">   40-44</t>
  </si>
  <si>
    <t xml:space="preserve">   45-49</t>
  </si>
  <si>
    <t xml:space="preserve">   50-54</t>
  </si>
  <si>
    <t xml:space="preserve">   55-59</t>
  </si>
  <si>
    <t xml:space="preserve">   60-64</t>
  </si>
  <si>
    <t>Grupos de Edad¹</t>
  </si>
  <si>
    <t>..</t>
  </si>
  <si>
    <t>Año</t>
  </si>
  <si>
    <t>Población migrante por sexo</t>
  </si>
  <si>
    <t>Distribución porcentual
de los inmigrantes</t>
  </si>
  <si>
    <t>Subtotal</t>
  </si>
  <si>
    <t>Estados Unidos de América</t>
  </si>
  <si>
    <t>Rusia</t>
  </si>
  <si>
    <t>Alemania</t>
  </si>
  <si>
    <t>Arabia Saudita</t>
  </si>
  <si>
    <t>Canadá</t>
  </si>
  <si>
    <t>Francia</t>
  </si>
  <si>
    <t>España</t>
  </si>
  <si>
    <t>India</t>
  </si>
  <si>
    <t>Ucrania</t>
  </si>
  <si>
    <t>Australia</t>
  </si>
  <si>
    <t>Italia</t>
  </si>
  <si>
    <t>Pakistán</t>
  </si>
  <si>
    <t>Jordania</t>
  </si>
  <si>
    <t>Costa de Marfil</t>
  </si>
  <si>
    <t>Otros países</t>
  </si>
  <si>
    <t>Regiones del mundo y
áreas geográficas</t>
  </si>
  <si>
    <t>Variación</t>
  </si>
  <si>
    <t>Tasa de</t>
  </si>
  <si>
    <t>absoluta</t>
  </si>
  <si>
    <t>crecimiento</t>
  </si>
  <si>
    <r>
      <t>Regiones desarrolladas</t>
    </r>
    <r>
      <rPr>
        <vertAlign val="superscript"/>
        <sz val="10"/>
        <rFont val="Calibri"/>
        <family val="2"/>
        <scheme val="minor"/>
      </rPr>
      <t>1</t>
    </r>
  </si>
  <si>
    <t>África</t>
  </si>
  <si>
    <t>Asia</t>
  </si>
  <si>
    <t>Europa</t>
  </si>
  <si>
    <t>América Latina y el Caribe</t>
  </si>
  <si>
    <t>Norte América</t>
  </si>
  <si>
    <t>Oceanía</t>
  </si>
  <si>
    <r>
      <t>Regiones menos desarrolladas</t>
    </r>
    <r>
      <rPr>
        <sz val="10"/>
        <rFont val="Calibri"/>
        <family val="2"/>
      </rPr>
      <t>²</t>
    </r>
  </si>
  <si>
    <t>²⁾ Las regiones menos desarrolladas abarcan todas las regiones de África, Asia (excepto Japón), América Latina y el Caribe, Melanesia, Micronesia y Polinesia.</t>
  </si>
  <si>
    <t>Afganistán</t>
  </si>
  <si>
    <t>México</t>
  </si>
  <si>
    <t>Bangladesh</t>
  </si>
  <si>
    <t>Emiratos Árabes Unidos</t>
  </si>
  <si>
    <t>Filipinas</t>
  </si>
  <si>
    <t>Turquía</t>
  </si>
  <si>
    <t>Polonia</t>
  </si>
  <si>
    <t>Egipto</t>
  </si>
  <si>
    <t>Palestina</t>
  </si>
  <si>
    <t>Tailandia</t>
  </si>
  <si>
    <t>Rumania</t>
  </si>
  <si>
    <t>Indonesia</t>
  </si>
  <si>
    <t>Irán</t>
  </si>
  <si>
    <t>China</t>
  </si>
  <si>
    <t>Kazajstán</t>
  </si>
  <si>
    <t>República Árabe Siria</t>
  </si>
  <si>
    <t>Reino Unido¹</t>
  </si>
  <si>
    <t>Nota: ¹⁾ Reino Unido esta conformado por: Gran Bretaña e Irlanda del Norte</t>
  </si>
  <si>
    <t>Nota: ¹⁾Reino Unido esta conformado por: Gran Bretaña e Irlanda del Norte</t>
  </si>
  <si>
    <t>Población Mundial (miles)</t>
  </si>
  <si>
    <t>Inmigrantes como porcentaje de la población mundial</t>
  </si>
  <si>
    <t>(2005-2015)</t>
  </si>
  <si>
    <t>Áreas geográficas destino</t>
  </si>
  <si>
    <t xml:space="preserve">Regiones del mundo </t>
  </si>
  <si>
    <t>Áreas geográficas origen</t>
  </si>
  <si>
    <t>Otro norte</t>
  </si>
  <si>
    <t>Otro sur</t>
  </si>
  <si>
    <t>65-69</t>
  </si>
  <si>
    <t>70-74</t>
  </si>
  <si>
    <t>75+</t>
  </si>
  <si>
    <t>http://www.un.org/en/development/desa/population/migration/data/empirical2/index.shtml</t>
  </si>
  <si>
    <t>Destino</t>
  </si>
  <si>
    <t>Estados Unidos</t>
  </si>
  <si>
    <t>Origen</t>
  </si>
  <si>
    <t>Iran</t>
  </si>
  <si>
    <t>China, Hong Kong</t>
  </si>
  <si>
    <t xml:space="preserve">China, Hong Kong </t>
  </si>
  <si>
    <t>Paises (Destino)</t>
  </si>
  <si>
    <t>Paises (Origen)</t>
  </si>
  <si>
    <t>Migrantes como porcentaje de la población mundial</t>
  </si>
  <si>
    <t>Distribución porcentual
de los migrantes</t>
  </si>
  <si>
    <t xml:space="preserve">India </t>
  </si>
  <si>
    <t>Myanmar</t>
  </si>
  <si>
    <t>Puerto Rico</t>
  </si>
  <si>
    <t xml:space="preserve">Afganistán </t>
  </si>
  <si>
    <t>Población mundial</t>
  </si>
  <si>
    <t xml:space="preserve">Total de migrantes </t>
  </si>
  <si>
    <t xml:space="preserve"> Nivel de desarrollo</t>
  </si>
  <si>
    <t>Total de migrantes</t>
  </si>
  <si>
    <r>
      <t>Regiones más desarrolladas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</si>
  <si>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t>Regiones menos desarolladas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</si>
  <si>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 xml:space="preserve">Notas: </t>
    </r>
    <r>
      <rPr>
        <sz val="9"/>
        <color indexed="8"/>
        <rFont val="Calibri"/>
        <family val="2"/>
      </rPr>
      <t>¹⁾</t>
    </r>
    <r>
      <rPr>
        <sz val="9"/>
        <color indexed="8"/>
        <rFont val="Calibri"/>
        <family val="2"/>
        <scheme val="minor"/>
      </rPr>
      <t xml:space="preserve"> Incluye: Europa y América del Norte, Australia, Nueva Zelanda y Japón</t>
    </r>
  </si>
  <si>
    <t>#</t>
  </si>
  <si>
    <t>Grupos de Edad (Hombres)¹</t>
  </si>
  <si>
    <t>Grupos de Edad (Mujeres)¹</t>
  </si>
  <si>
    <t>¹⁾ Existe una variación entre el total por sexo y el total de grupos de Edad.</t>
  </si>
  <si>
    <t>Absoluto (miles)</t>
  </si>
  <si>
    <t>%</t>
  </si>
  <si>
    <t>1.6. Stock migratorio por origen-destino, 2015 (Corredores migratorios)</t>
  </si>
  <si>
    <t>Población emigrante (miles)</t>
  </si>
  <si>
    <t>Emigrantes como porcentaje de la población mundial</t>
  </si>
  <si>
    <t>Distribución porcentual
de los emigrantes</t>
  </si>
  <si>
    <t>Grupo de edad y sexo</t>
  </si>
  <si>
    <t>Migrantes 
(miles)</t>
  </si>
  <si>
    <t>Población mundial (miles)</t>
  </si>
  <si>
    <t>Población inmigrante
(miles)</t>
  </si>
  <si>
    <t>1.3. Población mundial e inmigrantes, según los 20 principales países de destino, 2015</t>
  </si>
  <si>
    <t>1.4. Población mundial y emigrante, según los 20 principales países de origen, 2015</t>
  </si>
  <si>
    <t>1.5. Migrantes internacionales según sexo y edad, 2015</t>
  </si>
  <si>
    <r>
      <t xml:space="preserve">Fuente: Estimaciones del CONAPO con base en </t>
    </r>
    <r>
      <rPr>
        <i/>
        <sz val="9"/>
        <color theme="1"/>
        <rFont val="Calibri"/>
        <family val="2"/>
        <scheme val="minor"/>
      </rPr>
      <t>United Nations, Population Division Department of Economic and Social Affairs, International Migration.</t>
    </r>
    <r>
      <rPr>
        <sz val="9"/>
        <color theme="1"/>
        <rFont val="Calibri"/>
        <family val="2"/>
        <scheme val="minor"/>
      </rPr>
      <t xml:space="preserve"> Revisión 2015, consultado en febrero 2016</t>
    </r>
  </si>
  <si>
    <t>Población migrante
(miles)</t>
  </si>
  <si>
    <r>
      <t xml:space="preserve">Fuente: Elaborado por el CONAPO con base en </t>
    </r>
    <r>
      <rPr>
        <i/>
        <sz val="9"/>
        <color theme="1"/>
        <rFont val="Calibri"/>
        <family val="2"/>
        <scheme val="minor"/>
      </rPr>
      <t>United Nations, Department of Economic and Social Affairs, Population Division, International Migration. Revisión 2008 y 2015,</t>
    </r>
    <r>
      <rPr>
        <sz val="9"/>
        <color theme="1"/>
        <rFont val="Calibri"/>
        <family val="2"/>
        <scheme val="minor"/>
      </rPr>
      <t xml:space="preserve"> consultado en febrero 2016</t>
    </r>
  </si>
  <si>
    <t>Población en miles</t>
  </si>
  <si>
    <t>Tasa de crecimiento geométrica</t>
  </si>
  <si>
    <t>Regiones y nivel de desarrollo</t>
  </si>
  <si>
    <r>
      <rPr>
        <vertAlign val="superscript"/>
        <sz val="9"/>
        <color indexed="8"/>
        <rFont val="Calibri"/>
        <family val="2"/>
      </rPr>
      <t>3)</t>
    </r>
    <r>
      <rPr>
        <sz val="9"/>
        <color indexed="8"/>
        <rFont val="Calibri"/>
        <family val="2"/>
      </rPr>
      <t xml:space="preserve"> Las categorias son elaboradas por la fuente de información. “Otro Norte” y “Otro Sur” contienen un conjunto de datos que incluye un origen que no formaba parte de la lista estándar de los países o áreas. Para revisar la metodología veáse: http://unstats.un.org/unsd/methods/m49/m49regin.htm y http://www.un.org/en/development/desa/population/migration/data/estimates2/docs/MigrationStockDocumentation_2015.pdf</t>
    </r>
  </si>
  <si>
    <r>
      <t xml:space="preserve">Fuente: Estimaciones del CONAPO con base en </t>
    </r>
    <r>
      <rPr>
        <i/>
        <sz val="9"/>
        <color theme="1"/>
        <rFont val="Calibri"/>
        <family val="2"/>
        <scheme val="minor"/>
      </rPr>
      <t xml:space="preserve">United Nations, Population Division Department of Economic and Social Affairs, International Migration: The Revision 2015, </t>
    </r>
    <r>
      <rPr>
        <sz val="9"/>
        <color theme="1"/>
        <rFont val="Calibri"/>
        <family val="2"/>
        <scheme val="minor"/>
      </rPr>
      <t>consultado en febrero 2016</t>
    </r>
  </si>
  <si>
    <t>1.1. Total de la población mundial y migrante según sexo y nivel de desarrollo regional de destino, 1960 - 2015</t>
  </si>
  <si>
    <t xml:space="preserve">1.2. Tasas de crecimiento de los migrantes internacionales según nivel de desarrollo de las regiones y áreas geográficas (origen-destino), 2005 - 2015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</si>
</sst>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\ ###\ ###\ ##0;\-#\ ###\ ###\ ##0;0"/>
    <numFmt numFmtId="165" formatCode="0.0"/>
    <numFmt numFmtId="166" formatCode="#\ ###\ ###"/>
    <numFmt numFmtId="167" formatCode="_(* #,##0.00_);_(* \(#,##0.00\);_(* &quot;-&quot;??_);_(@_)"/>
    <numFmt numFmtId="168" formatCode="mmm\ dd\,\ yyyy"/>
    <numFmt numFmtId="169" formatCode="#\ ###\ "/>
    <numFmt numFmtId="170" formatCode="0.0\ \ \ \ \ \ \ "/>
    <numFmt numFmtId="171" formatCode="_-* #\ ###\ ##0_-;\-* #\ ###\ ##0_-;_-* &quot;---&quot;_-;_-@_-"/>
    <numFmt numFmtId="172" formatCode="_-* #\ ###\ ##0\ \ \ _-;\-* #\ ###\ ##0\ \ \ _-;_-* &quot;---&quot;_-;_-@_-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Verdana"/>
      <family val="2"/>
    </font>
    <font>
      <b/>
      <sz val="10"/>
      <color indexed="54"/>
      <name val="Verdana"/>
      <family val="2"/>
    </font>
    <font>
      <u/>
      <sz val="10"/>
      <color indexed="56"/>
      <name val="Times New Roman"/>
      <family val="1"/>
    </font>
    <font>
      <sz val="10"/>
      <name val="Courier New Cyr"/>
      <charset val="204"/>
    </font>
    <font>
      <sz val="11"/>
      <color indexed="60"/>
      <name val="Calibri"/>
      <family val="2"/>
    </font>
    <font>
      <sz val="10"/>
      <color indexed="8"/>
      <name val="Calibri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b/>
      <sz val="11"/>
      <color indexed="8"/>
      <name val="Calibri"/>
      <family val="2"/>
    </font>
    <font>
      <u/>
      <sz val="8"/>
      <color indexed="12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indexed="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</font>
    <font>
      <vertAlign val="superscript"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Times New Roman"/>
      <family val="1"/>
    </font>
    <font>
      <u/>
      <sz val="1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4"/>
      <name val="Calibri"/>
      <family val="2"/>
      <scheme val="minor"/>
    </font>
    <font>
      <vertAlign val="superscript"/>
      <sz val="9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0" fontId="11" fillId="0" borderId="0"/>
    <xf numFmtId="0" fontId="8" fillId="0" borderId="4">
      <alignment horizontal="center" vertical="center"/>
    </xf>
    <xf numFmtId="1" fontId="13" fillId="2" borderId="5">
      <alignment horizontal="right" vertical="center"/>
    </xf>
    <xf numFmtId="0" fontId="13" fillId="3" borderId="5">
      <alignment horizontal="center" vertical="center"/>
    </xf>
    <xf numFmtId="1" fontId="13" fillId="2" borderId="5">
      <alignment horizontal="right" vertical="center"/>
    </xf>
    <xf numFmtId="0" fontId="7" fillId="2" borderId="0"/>
    <xf numFmtId="0" fontId="14" fillId="2" borderId="5">
      <alignment horizontal="left" vertical="center"/>
    </xf>
    <xf numFmtId="167" fontId="7" fillId="0" borderId="0" applyFont="0" applyFill="0" applyBorder="0" applyAlignment="0" applyProtection="0"/>
    <xf numFmtId="165" fontId="8" fillId="0" borderId="0" applyBorder="0"/>
    <xf numFmtId="165" fontId="8" fillId="0" borderId="6"/>
    <xf numFmtId="0" fontId="12" fillId="0" borderId="0"/>
    <xf numFmtId="0" fontId="12" fillId="0" borderId="0">
      <alignment horizontal="left" indent="1"/>
    </xf>
    <xf numFmtId="0" fontId="7" fillId="0" borderId="0">
      <alignment horizontal="left" indent="2"/>
    </xf>
    <xf numFmtId="0" fontId="7" fillId="0" borderId="0">
      <alignment horizontal="left" indent="3"/>
    </xf>
    <xf numFmtId="0" fontId="7" fillId="0" borderId="0">
      <alignment horizontal="left" indent="4"/>
    </xf>
    <xf numFmtId="0" fontId="15" fillId="0" borderId="0" applyNumberFormat="0" applyFill="0" applyBorder="0" applyAlignment="0" applyProtection="0"/>
    <xf numFmtId="0" fontId="16" fillId="0" borderId="0"/>
    <xf numFmtId="0" fontId="17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8" fillId="0" borderId="0"/>
    <xf numFmtId="0" fontId="19" fillId="0" borderId="0"/>
    <xf numFmtId="0" fontId="20" fillId="0" borderId="0"/>
    <xf numFmtId="0" fontId="19" fillId="0" borderId="0"/>
    <xf numFmtId="0" fontId="21" fillId="0" borderId="0">
      <alignment horizontal="left"/>
    </xf>
    <xf numFmtId="9" fontId="7" fillId="0" borderId="0" applyFont="0" applyFill="0" applyBorder="0" applyAlignment="0" applyProtection="0"/>
    <xf numFmtId="0" fontId="8" fillId="0" borderId="3">
      <alignment horizontal="center" vertical="center"/>
    </xf>
    <xf numFmtId="168" fontId="7" fillId="0" borderId="0" applyFill="0" applyBorder="0" applyAlignment="0" applyProtection="0">
      <alignment wrapText="1"/>
    </xf>
    <xf numFmtId="0" fontId="12" fillId="0" borderId="0" applyNumberFormat="0" applyFill="0" applyBorder="0">
      <alignment horizontal="center" wrapText="1"/>
    </xf>
    <xf numFmtId="0" fontId="12" fillId="0" borderId="0" applyNumberFormat="0" applyFill="0" applyBorder="0">
      <alignment horizontal="center" wrapText="1"/>
    </xf>
    <xf numFmtId="0" fontId="22" fillId="0" borderId="0"/>
    <xf numFmtId="0" fontId="23" fillId="0" borderId="0"/>
    <xf numFmtId="0" fontId="24" fillId="0" borderId="7" applyNumberFormat="0" applyFill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9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2" borderId="0" applyNumberFormat="0" applyBorder="0" applyAlignment="0" applyProtection="0"/>
    <xf numFmtId="0" fontId="33" fillId="6" borderId="0" applyNumberFormat="0" applyBorder="0" applyAlignment="0" applyProtection="0"/>
    <xf numFmtId="0" fontId="34" fillId="23" borderId="8" applyNumberFormat="0" applyAlignment="0" applyProtection="0"/>
    <xf numFmtId="0" fontId="35" fillId="24" borderId="9" applyNumberFormat="0" applyAlignment="0" applyProtection="0"/>
    <xf numFmtId="167" fontId="2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8" applyNumberFormat="0" applyAlignment="0" applyProtection="0"/>
    <xf numFmtId="0" fontId="42" fillId="0" borderId="13" applyNumberFormat="0" applyFill="0" applyAlignment="0" applyProtection="0"/>
    <xf numFmtId="0" fontId="27" fillId="25" borderId="14" applyNumberFormat="0" applyFont="0" applyAlignment="0" applyProtection="0"/>
    <xf numFmtId="0" fontId="43" fillId="23" borderId="15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/>
    <xf numFmtId="0" fontId="27" fillId="0" borderId="0"/>
    <xf numFmtId="0" fontId="27" fillId="0" borderId="0"/>
    <xf numFmtId="0" fontId="60" fillId="0" borderId="0"/>
    <xf numFmtId="0" fontId="11" fillId="0" borderId="0"/>
    <xf numFmtId="0" fontId="9" fillId="0" borderId="0" applyNumberFormat="0" applyFill="0" applyBorder="0" applyAlignment="0" applyProtection="0"/>
    <xf numFmtId="0" fontId="11" fillId="0" borderId="0"/>
    <xf numFmtId="0" fontId="11" fillId="0" borderId="0"/>
    <xf numFmtId="0" fontId="25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0" fontId="11" fillId="25" borderId="14" applyNumberFormat="0" applyFont="0" applyAlignment="0" applyProtection="0"/>
    <xf numFmtId="0" fontId="11" fillId="0" borderId="0"/>
    <xf numFmtId="0" fontId="11" fillId="0" borderId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2" borderId="0" applyNumberFormat="0" applyBorder="0" applyAlignment="0" applyProtection="0"/>
    <xf numFmtId="0" fontId="33" fillId="6" borderId="0" applyNumberFormat="0" applyBorder="0" applyAlignment="0" applyProtection="0"/>
    <xf numFmtId="0" fontId="34" fillId="23" borderId="8" applyNumberFormat="0" applyAlignment="0" applyProtection="0"/>
    <xf numFmtId="0" fontId="35" fillId="24" borderId="9" applyNumberFormat="0" applyAlignment="0" applyProtection="0"/>
    <xf numFmtId="0" fontId="36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8" applyNumberFormat="0" applyAlignment="0" applyProtection="0"/>
    <xf numFmtId="0" fontId="42" fillId="0" borderId="13" applyNumberFormat="0" applyFill="0" applyAlignment="0" applyProtection="0"/>
    <xf numFmtId="0" fontId="11" fillId="25" borderId="14" applyNumberFormat="0" applyFont="0" applyAlignment="0" applyProtection="0"/>
    <xf numFmtId="0" fontId="43" fillId="23" borderId="15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  <xf numFmtId="0" fontId="7" fillId="0" borderId="0"/>
  </cellStyleXfs>
  <cellXfs count="269">
    <xf numFmtId="0" fontId="0" fillId="0" borderId="0" xfId="0"/>
    <xf numFmtId="0" fontId="30" fillId="0" borderId="0" xfId="39" applyFont="1" applyFill="1" applyBorder="1" applyAlignment="1">
      <alignment horizontal="center"/>
    </xf>
    <xf numFmtId="0" fontId="0" fillId="0" borderId="0" xfId="0" applyFill="1" applyBorder="1"/>
    <xf numFmtId="164" fontId="30" fillId="0" borderId="0" xfId="39" applyNumberFormat="1" applyFont="1" applyFill="1" applyBorder="1" applyAlignment="1">
      <alignment horizontal="right"/>
    </xf>
    <xf numFmtId="0" fontId="0" fillId="0" borderId="0" xfId="0"/>
    <xf numFmtId="0" fontId="0" fillId="0" borderId="0" xfId="0" applyBorder="1"/>
    <xf numFmtId="0" fontId="4" fillId="0" borderId="0" xfId="0" applyFont="1" applyFill="1" applyBorder="1"/>
    <xf numFmtId="3" fontId="46" fillId="0" borderId="0" xfId="40" applyNumberFormat="1" applyFont="1" applyFill="1" applyBorder="1" applyAlignment="1">
      <alignment horizontal="left" indent="1"/>
    </xf>
    <xf numFmtId="3" fontId="6" fillId="0" borderId="0" xfId="40" applyNumberFormat="1" applyFont="1" applyFill="1" applyBorder="1" applyAlignment="1">
      <alignment horizontal="left" indent="1"/>
    </xf>
    <xf numFmtId="0" fontId="5" fillId="0" borderId="0" xfId="2" applyFont="1" applyFill="1" applyBorder="1" applyAlignment="1"/>
    <xf numFmtId="49" fontId="5" fillId="0" borderId="0" xfId="2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3" fontId="46" fillId="0" borderId="0" xfId="4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3" fontId="6" fillId="0" borderId="0" xfId="40" applyNumberFormat="1" applyFont="1" applyFill="1" applyBorder="1" applyAlignment="1">
      <alignment horizontal="center" vertical="center"/>
    </xf>
    <xf numFmtId="3" fontId="30" fillId="0" borderId="0" xfId="40" applyNumberFormat="1" applyFont="1" applyFill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165" fontId="0" fillId="0" borderId="0" xfId="0" applyNumberFormat="1" applyFill="1" applyBorder="1"/>
    <xf numFmtId="165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4" fillId="27" borderId="0" xfId="0" applyFont="1" applyFill="1" applyBorder="1"/>
    <xf numFmtId="0" fontId="4" fillId="27" borderId="0" xfId="0" applyFont="1" applyFill="1" applyBorder="1" applyAlignment="1">
      <alignment horizontal="center" vertical="center"/>
    </xf>
    <xf numFmtId="0" fontId="4" fillId="26" borderId="0" xfId="0" applyFont="1" applyFill="1" applyBorder="1" applyAlignment="1">
      <alignment horizontal="center"/>
    </xf>
    <xf numFmtId="0" fontId="3" fillId="27" borderId="0" xfId="2" applyFont="1" applyFill="1" applyBorder="1" applyAlignment="1">
      <alignment horizontal="center" vertical="center"/>
    </xf>
    <xf numFmtId="3" fontId="46" fillId="27" borderId="0" xfId="40" applyNumberFormat="1" applyFont="1" applyFill="1" applyBorder="1" applyAlignment="1"/>
    <xf numFmtId="0" fontId="2" fillId="27" borderId="0" xfId="0" applyFont="1" applyFill="1" applyBorder="1" applyAlignment="1">
      <alignment horizontal="center" vertical="center"/>
    </xf>
    <xf numFmtId="0" fontId="2" fillId="27" borderId="0" xfId="0" applyFont="1" applyFill="1" applyBorder="1"/>
    <xf numFmtId="0" fontId="53" fillId="28" borderId="0" xfId="82" applyFont="1" applyFill="1" applyBorder="1"/>
    <xf numFmtId="0" fontId="0" fillId="0" borderId="0" xfId="0" applyBorder="1"/>
    <xf numFmtId="0" fontId="48" fillId="28" borderId="1" xfId="2" applyFont="1" applyFill="1" applyBorder="1"/>
    <xf numFmtId="0" fontId="48" fillId="0" borderId="0" xfId="2" applyFont="1" applyFill="1" applyAlignment="1">
      <alignment horizontal="center"/>
    </xf>
    <xf numFmtId="172" fontId="48" fillId="28" borderId="0" xfId="2" applyNumberFormat="1" applyFont="1" applyFill="1" applyAlignment="1"/>
    <xf numFmtId="49" fontId="51" fillId="27" borderId="0" xfId="82" applyNumberFormat="1" applyFont="1" applyFill="1" applyBorder="1" applyAlignment="1"/>
    <xf numFmtId="0" fontId="51" fillId="26" borderId="1" xfId="2" applyFont="1" applyFill="1" applyBorder="1" applyAlignment="1">
      <alignment horizontal="center" vertical="center" wrapText="1"/>
    </xf>
    <xf numFmtId="0" fontId="48" fillId="26" borderId="1" xfId="2" applyFont="1" applyFill="1" applyBorder="1" applyAlignment="1">
      <alignment horizontal="center" vertical="center" wrapText="1"/>
    </xf>
    <xf numFmtId="0" fontId="53" fillId="28" borderId="1" xfId="82" applyFont="1" applyFill="1" applyBorder="1"/>
    <xf numFmtId="0" fontId="52" fillId="0" borderId="0" xfId="82" applyFont="1" applyFill="1" applyBorder="1" applyAlignment="1">
      <alignment horizontal="center" vertical="center" wrapText="1"/>
    </xf>
    <xf numFmtId="0" fontId="51" fillId="0" borderId="0" xfId="2" applyFont="1" applyFill="1" applyBorder="1" applyAlignment="1">
      <alignment horizontal="center" vertical="center" wrapText="1"/>
    </xf>
    <xf numFmtId="0" fontId="51" fillId="0" borderId="0" xfId="2" applyFont="1" applyFill="1" applyBorder="1" applyAlignment="1">
      <alignment horizontal="center"/>
    </xf>
    <xf numFmtId="0" fontId="51" fillId="0" borderId="0" xfId="2" applyFont="1" applyFill="1" applyBorder="1" applyAlignment="1">
      <alignment horizontal="center" vertical="center"/>
    </xf>
    <xf numFmtId="0" fontId="51" fillId="0" borderId="0" xfId="2" quotePrefix="1" applyFont="1" applyFill="1" applyBorder="1" applyAlignment="1">
      <alignment horizontal="center" vertical="center"/>
    </xf>
    <xf numFmtId="0" fontId="48" fillId="0" borderId="0" xfId="2" applyFont="1" applyFill="1" applyBorder="1" applyAlignment="1">
      <alignment horizontal="center" vertical="center" wrapText="1"/>
    </xf>
    <xf numFmtId="0" fontId="51" fillId="0" borderId="0" xfId="2" applyFont="1" applyFill="1"/>
    <xf numFmtId="170" fontId="48" fillId="0" borderId="0" xfId="2" quotePrefix="1" applyNumberFormat="1" applyFont="1" applyFill="1" applyAlignment="1">
      <alignment horizontal="center" vertical="center"/>
    </xf>
    <xf numFmtId="0" fontId="54" fillId="28" borderId="0" xfId="82" applyFont="1" applyFill="1" applyBorder="1" applyAlignment="1">
      <alignment horizontal="center" vertical="center" wrapText="1"/>
    </xf>
    <xf numFmtId="0" fontId="26" fillId="0" borderId="0" xfId="0" applyFont="1" applyAlignment="1"/>
    <xf numFmtId="0" fontId="50" fillId="0" borderId="1" xfId="0" applyFont="1" applyBorder="1" applyAlignment="1">
      <alignment vertical="center" wrapText="1"/>
    </xf>
    <xf numFmtId="0" fontId="50" fillId="0" borderId="0" xfId="0" applyFont="1" applyAlignment="1">
      <alignment vertical="center" wrapText="1"/>
    </xf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26" borderId="2" xfId="0" applyFont="1" applyFill="1" applyBorder="1"/>
    <xf numFmtId="0" fontId="4" fillId="26" borderId="2" xfId="0" applyFont="1" applyFill="1" applyBorder="1" applyAlignment="1">
      <alignment vertical="center" wrapText="1"/>
    </xf>
    <xf numFmtId="0" fontId="4" fillId="26" borderId="2" xfId="0" applyFont="1" applyFill="1" applyBorder="1" applyAlignment="1">
      <alignment horizontal="center" wrapText="1"/>
    </xf>
    <xf numFmtId="0" fontId="2" fillId="26" borderId="0" xfId="0" applyFont="1" applyFill="1" applyBorder="1"/>
    <xf numFmtId="0" fontId="2" fillId="26" borderId="1" xfId="0" applyFont="1" applyFill="1" applyBorder="1"/>
    <xf numFmtId="0" fontId="2" fillId="26" borderId="1" xfId="0" applyFont="1" applyFill="1" applyBorder="1" applyAlignment="1">
      <alignment horizontal="center"/>
    </xf>
    <xf numFmtId="0" fontId="2" fillId="27" borderId="0" xfId="0" applyFont="1" applyFill="1"/>
    <xf numFmtId="0" fontId="7" fillId="0" borderId="0" xfId="2"/>
    <xf numFmtId="0" fontId="8" fillId="0" borderId="0" xfId="2" applyFont="1" applyFill="1" applyBorder="1"/>
    <xf numFmtId="170" fontId="56" fillId="28" borderId="0" xfId="2" applyNumberFormat="1" applyFont="1" applyFill="1" applyBorder="1" applyAlignment="1"/>
    <xf numFmtId="0" fontId="4" fillId="27" borderId="0" xfId="0" applyFont="1" applyFill="1"/>
    <xf numFmtId="0" fontId="2" fillId="0" borderId="0" xfId="0" applyFont="1" applyFill="1" applyBorder="1"/>
    <xf numFmtId="0" fontId="0" fillId="0" borderId="0" xfId="0"/>
    <xf numFmtId="0" fontId="54" fillId="28" borderId="0" xfId="8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5" fillId="0" borderId="0" xfId="89" applyNumberFormat="1" applyFont="1" applyFill="1" applyBorder="1" applyAlignment="1">
      <alignment horizontal="center" vertical="center"/>
    </xf>
    <xf numFmtId="0" fontId="0" fillId="26" borderId="0" xfId="0" applyFill="1" applyBorder="1"/>
    <xf numFmtId="0" fontId="55" fillId="26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3" fontId="46" fillId="0" borderId="0" xfId="40" applyNumberFormat="1" applyFont="1" applyFill="1" applyBorder="1" applyAlignment="1"/>
    <xf numFmtId="166" fontId="46" fillId="0" borderId="0" xfId="40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170" fontId="5" fillId="0" borderId="0" xfId="2" applyNumberFormat="1" applyFont="1" applyFill="1" applyAlignment="1">
      <alignment horizontal="center" vertical="center"/>
    </xf>
    <xf numFmtId="170" fontId="3" fillId="28" borderId="0" xfId="2" applyNumberFormat="1" applyFont="1" applyFill="1" applyAlignment="1">
      <alignment horizontal="center" vertical="center"/>
    </xf>
    <xf numFmtId="165" fontId="5" fillId="0" borderId="0" xfId="2" applyNumberFormat="1" applyFont="1" applyFill="1" applyAlignment="1">
      <alignment horizontal="center" vertical="center"/>
    </xf>
    <xf numFmtId="170" fontId="5" fillId="28" borderId="0" xfId="2" applyNumberFormat="1" applyFont="1" applyFill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70" fontId="5" fillId="28" borderId="1" xfId="2" applyNumberFormat="1" applyFont="1" applyFill="1" applyBorder="1" applyAlignment="1">
      <alignment horizontal="center" vertical="center"/>
    </xf>
    <xf numFmtId="0" fontId="3" fillId="27" borderId="0" xfId="2" applyFont="1" applyFill="1" applyAlignment="1">
      <alignment horizontal="center" vertical="center"/>
    </xf>
    <xf numFmtId="165" fontId="3" fillId="27" borderId="0" xfId="2" applyNumberFormat="1" applyFont="1" applyFill="1" applyAlignment="1">
      <alignment horizontal="center" vertical="center"/>
    </xf>
    <xf numFmtId="1" fontId="3" fillId="27" borderId="0" xfId="2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4" fillId="27" borderId="0" xfId="0" applyNumberFormat="1" applyFont="1" applyFill="1" applyBorder="1" applyAlignment="1">
      <alignment horizontal="center" vertical="center"/>
    </xf>
    <xf numFmtId="0" fontId="6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64" fontId="3" fillId="27" borderId="0" xfId="89" applyNumberFormat="1" applyFont="1" applyFill="1" applyBorder="1" applyAlignment="1">
      <alignment horizontal="right" vertical="center"/>
    </xf>
    <xf numFmtId="164" fontId="51" fillId="27" borderId="0" xfId="2" applyNumberFormat="1" applyFont="1" applyFill="1" applyAlignment="1">
      <alignment horizontal="right"/>
    </xf>
    <xf numFmtId="164" fontId="5" fillId="0" borderId="0" xfId="89" applyNumberFormat="1" applyFont="1" applyFill="1" applyBorder="1" applyAlignment="1">
      <alignment horizontal="right" vertical="center"/>
    </xf>
    <xf numFmtId="164" fontId="48" fillId="0" borderId="0" xfId="2" applyNumberFormat="1" applyFont="1" applyFill="1" applyAlignment="1">
      <alignment horizontal="right"/>
    </xf>
    <xf numFmtId="0" fontId="2" fillId="27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1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/>
    </xf>
    <xf numFmtId="0" fontId="4" fillId="27" borderId="0" xfId="0" applyFont="1" applyFill="1" applyAlignment="1">
      <alignment horizontal="right"/>
    </xf>
    <xf numFmtId="171" fontId="48" fillId="0" borderId="0" xfId="2" applyNumberFormat="1" applyFont="1" applyFill="1" applyAlignment="1">
      <alignment horizontal="right"/>
    </xf>
    <xf numFmtId="0" fontId="5" fillId="0" borderId="0" xfId="2" applyFont="1" applyFill="1" applyBorder="1" applyAlignment="1">
      <alignment horizontal="right" vertical="center"/>
    </xf>
    <xf numFmtId="172" fontId="48" fillId="0" borderId="0" xfId="2" applyNumberFormat="1" applyFont="1" applyFill="1" applyAlignment="1">
      <alignment horizontal="right" vertical="top" wrapText="1"/>
    </xf>
    <xf numFmtId="0" fontId="8" fillId="0" borderId="0" xfId="2" applyFont="1" applyFill="1" applyBorder="1" applyAlignment="1">
      <alignment horizontal="right"/>
    </xf>
    <xf numFmtId="0" fontId="4" fillId="27" borderId="0" xfId="0" applyFont="1" applyFill="1" applyBorder="1" applyAlignment="1">
      <alignment horizontal="right" vertical="center"/>
    </xf>
    <xf numFmtId="164" fontId="4" fillId="27" borderId="0" xfId="0" applyNumberFormat="1" applyFont="1" applyFill="1" applyBorder="1" applyAlignment="1">
      <alignment horizontal="right" vertical="center"/>
    </xf>
    <xf numFmtId="169" fontId="4" fillId="27" borderId="0" xfId="1" applyNumberFormat="1" applyFont="1" applyFill="1" applyBorder="1" applyAlignment="1">
      <alignment horizontal="right" vertical="center"/>
    </xf>
    <xf numFmtId="3" fontId="6" fillId="0" borderId="0" xfId="40" applyNumberFormat="1" applyFont="1" applyFill="1" applyBorder="1" applyAlignment="1">
      <alignment horizontal="right" vertical="center"/>
    </xf>
    <xf numFmtId="164" fontId="5" fillId="0" borderId="0" xfId="39" applyNumberFormat="1" applyFont="1" applyFill="1" applyBorder="1" applyAlignment="1">
      <alignment horizontal="right" vertical="center"/>
    </xf>
    <xf numFmtId="3" fontId="46" fillId="0" borderId="0" xfId="40" applyNumberFormat="1" applyFont="1" applyFill="1" applyBorder="1" applyAlignment="1">
      <alignment horizontal="right" vertical="center"/>
    </xf>
    <xf numFmtId="3" fontId="46" fillId="27" borderId="0" xfId="40" applyNumberFormat="1" applyFont="1" applyFill="1" applyBorder="1" applyAlignment="1">
      <alignment horizontal="right" vertical="center"/>
    </xf>
    <xf numFmtId="166" fontId="46" fillId="27" borderId="0" xfId="40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right" vertical="center"/>
    </xf>
    <xf numFmtId="0" fontId="4" fillId="26" borderId="16" xfId="0" applyFont="1" applyFill="1" applyBorder="1" applyAlignment="1">
      <alignment horizontal="right" vertical="center" wrapText="1"/>
    </xf>
    <xf numFmtId="165" fontId="4" fillId="27" borderId="0" xfId="1" applyNumberFormat="1" applyFont="1" applyFill="1" applyAlignment="1">
      <alignment horizontal="right" vertical="center"/>
    </xf>
    <xf numFmtId="1" fontId="2" fillId="0" borderId="0" xfId="0" applyNumberFormat="1" applyFont="1" applyAlignment="1">
      <alignment horizontal="right"/>
    </xf>
    <xf numFmtId="1" fontId="2" fillId="0" borderId="0" xfId="1" applyNumberFormat="1" applyFont="1" applyAlignment="1">
      <alignment horizontal="right"/>
    </xf>
    <xf numFmtId="164" fontId="3" fillId="0" borderId="0" xfId="89" applyNumberFormat="1" applyFont="1" applyFill="1" applyBorder="1" applyAlignment="1">
      <alignment horizontal="right" vertical="center"/>
    </xf>
    <xf numFmtId="165" fontId="4" fillId="0" borderId="0" xfId="1" applyNumberFormat="1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0" fontId="4" fillId="27" borderId="0" xfId="0" applyFont="1" applyFill="1" applyBorder="1" applyAlignment="1">
      <alignment horizontal="center" vertical="center"/>
    </xf>
    <xf numFmtId="164" fontId="5" fillId="0" borderId="0" xfId="4" applyNumberFormat="1" applyFont="1" applyFill="1" applyBorder="1" applyAlignment="1">
      <alignment horizontal="right" vertical="center"/>
    </xf>
    <xf numFmtId="164" fontId="5" fillId="0" borderId="1" xfId="2" applyNumberFormat="1" applyFont="1" applyBorder="1" applyAlignment="1">
      <alignment horizontal="right" vertical="center"/>
    </xf>
    <xf numFmtId="0" fontId="62" fillId="28" borderId="0" xfId="82" applyFont="1" applyFill="1" applyBorder="1"/>
    <xf numFmtId="0" fontId="62" fillId="28" borderId="1" xfId="82" applyFont="1" applyFill="1" applyBorder="1"/>
    <xf numFmtId="166" fontId="3" fillId="27" borderId="0" xfId="2" applyNumberFormat="1" applyFont="1" applyFill="1" applyAlignment="1">
      <alignment horizontal="right" vertical="center"/>
    </xf>
    <xf numFmtId="166" fontId="3" fillId="27" borderId="0" xfId="4" applyNumberFormat="1" applyFont="1" applyFill="1" applyBorder="1" applyAlignment="1">
      <alignment horizontal="right" vertical="center"/>
    </xf>
    <xf numFmtId="172" fontId="5" fillId="0" borderId="0" xfId="2" applyNumberFormat="1" applyFont="1" applyFill="1" applyAlignment="1">
      <alignment horizontal="right" vertical="center"/>
    </xf>
    <xf numFmtId="164" fontId="5" fillId="0" borderId="1" xfId="2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5" fillId="0" borderId="0" xfId="0" applyFont="1" applyAlignment="1">
      <alignment horizontal="left"/>
    </xf>
    <xf numFmtId="0" fontId="2" fillId="0" borderId="0" xfId="0" applyFont="1"/>
    <xf numFmtId="0" fontId="0" fillId="0" borderId="0" xfId="0"/>
    <xf numFmtId="164" fontId="5" fillId="0" borderId="0" xfId="89" applyNumberFormat="1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0" xfId="0"/>
    <xf numFmtId="0" fontId="26" fillId="0" borderId="0" xfId="0" applyFont="1" applyAlignment="1">
      <alignment horizontal="left" vertical="center"/>
    </xf>
    <xf numFmtId="0" fontId="0" fillId="0" borderId="0" xfId="0" applyFont="1"/>
    <xf numFmtId="0" fontId="5" fillId="0" borderId="0" xfId="2" applyFont="1" applyFill="1" applyBorder="1" applyAlignment="1">
      <alignment horizontal="left" indent="1"/>
    </xf>
    <xf numFmtId="0" fontId="51" fillId="0" borderId="0" xfId="2" applyFont="1" applyFill="1" applyBorder="1" applyAlignment="1">
      <alignment horizontal="center" wrapText="1"/>
    </xf>
    <xf numFmtId="0" fontId="51" fillId="0" borderId="0" xfId="2" quotePrefix="1" applyFont="1" applyFill="1" applyBorder="1" applyAlignment="1">
      <alignment horizontal="center" vertical="center" wrapText="1"/>
    </xf>
    <xf numFmtId="0" fontId="7" fillId="0" borderId="0" xfId="2" applyAlignment="1">
      <alignment wrapText="1"/>
    </xf>
    <xf numFmtId="166" fontId="3" fillId="27" borderId="0" xfId="4" applyNumberFormat="1" applyFont="1" applyFill="1" applyBorder="1" applyAlignment="1">
      <alignment horizontal="right" vertical="center" wrapText="1"/>
    </xf>
    <xf numFmtId="0" fontId="3" fillId="27" borderId="0" xfId="2" applyFont="1" applyFill="1" applyAlignment="1">
      <alignment horizontal="center" vertical="center" wrapText="1"/>
    </xf>
    <xf numFmtId="165" fontId="3" fillId="27" borderId="0" xfId="2" applyNumberFormat="1" applyFont="1" applyFill="1" applyAlignment="1">
      <alignment horizontal="center" vertical="center" wrapText="1"/>
    </xf>
    <xf numFmtId="0" fontId="3" fillId="27" borderId="0" xfId="2" applyFont="1" applyFill="1" applyBorder="1" applyAlignment="1">
      <alignment horizontal="center" vertical="center" wrapText="1"/>
    </xf>
    <xf numFmtId="1" fontId="3" fillId="27" borderId="0" xfId="2" applyNumberFormat="1" applyFont="1" applyFill="1" applyAlignment="1">
      <alignment horizontal="center" vertical="center" wrapText="1"/>
    </xf>
    <xf numFmtId="166" fontId="3" fillId="27" borderId="0" xfId="2" applyNumberFormat="1" applyFont="1" applyFill="1" applyAlignment="1">
      <alignment horizontal="right" vertical="center" wrapText="1"/>
    </xf>
    <xf numFmtId="0" fontId="51" fillId="0" borderId="0" xfId="2" applyFont="1" applyFill="1" applyAlignment="1">
      <alignment wrapText="1"/>
    </xf>
    <xf numFmtId="171" fontId="48" fillId="0" borderId="0" xfId="2" applyNumberFormat="1" applyFont="1" applyFill="1" applyAlignment="1">
      <alignment horizontal="right" wrapText="1"/>
    </xf>
    <xf numFmtId="0" fontId="48" fillId="0" borderId="0" xfId="2" applyFont="1" applyFill="1" applyAlignment="1">
      <alignment horizontal="center" wrapText="1"/>
    </xf>
    <xf numFmtId="170" fontId="48" fillId="0" borderId="0" xfId="2" quotePrefix="1" applyNumberFormat="1" applyFont="1" applyFill="1" applyAlignment="1">
      <alignment horizontal="center" vertical="center" wrapText="1"/>
    </xf>
    <xf numFmtId="0" fontId="48" fillId="28" borderId="1" xfId="2" applyFont="1" applyFill="1" applyBorder="1" applyAlignment="1">
      <alignment wrapText="1"/>
    </xf>
    <xf numFmtId="164" fontId="5" fillId="0" borderId="1" xfId="2" applyNumberFormat="1" applyFont="1" applyBorder="1" applyAlignment="1">
      <alignment horizontal="right" vertical="center" wrapText="1"/>
    </xf>
    <xf numFmtId="0" fontId="5" fillId="0" borderId="1" xfId="2" applyFont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right" vertical="center" wrapText="1"/>
    </xf>
    <xf numFmtId="170" fontId="5" fillId="28" borderId="1" xfId="2" applyNumberFormat="1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4" fillId="26" borderId="3" xfId="0" applyFont="1" applyFill="1" applyBorder="1" applyAlignment="1">
      <alignment horizontal="center" vertical="center"/>
    </xf>
    <xf numFmtId="0" fontId="4" fillId="26" borderId="0" xfId="0" applyFont="1" applyFill="1" applyBorder="1" applyAlignment="1">
      <alignment horizontal="center" vertical="center" wrapText="1"/>
    </xf>
    <xf numFmtId="0" fontId="4" fillId="26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8" fillId="26" borderId="1" xfId="2" applyFont="1" applyFill="1" applyBorder="1" applyAlignment="1">
      <alignment horizontal="center"/>
    </xf>
    <xf numFmtId="0" fontId="7" fillId="0" borderId="0" xfId="2" applyAlignment="1">
      <alignment horizontal="center"/>
    </xf>
    <xf numFmtId="0" fontId="48" fillId="26" borderId="1" xfId="2" applyFont="1" applyFill="1" applyBorder="1" applyAlignment="1">
      <alignment horizontal="center" vertical="center"/>
    </xf>
    <xf numFmtId="0" fontId="7" fillId="0" borderId="0" xfId="2" applyAlignment="1">
      <alignment horizontal="center" wrapText="1"/>
    </xf>
    <xf numFmtId="0" fontId="55" fillId="0" borderId="0" xfId="0" applyFont="1" applyBorder="1" applyAlignment="1">
      <alignment horizontal="center" vertical="center" wrapText="1"/>
    </xf>
    <xf numFmtId="0" fontId="4" fillId="26" borderId="3" xfId="0" applyFont="1" applyFill="1" applyBorder="1"/>
    <xf numFmtId="0" fontId="59" fillId="26" borderId="0" xfId="0" applyFont="1" applyFill="1" applyBorder="1" applyAlignment="1"/>
    <xf numFmtId="0" fontId="64" fillId="0" borderId="0" xfId="0" applyFont="1" applyBorder="1" applyAlignment="1">
      <alignment vertical="center" wrapText="1"/>
    </xf>
    <xf numFmtId="0" fontId="63" fillId="28" borderId="0" xfId="82" applyFont="1" applyFill="1" applyBorder="1" applyAlignment="1">
      <alignment vertical="center" wrapText="1"/>
    </xf>
    <xf numFmtId="0" fontId="58" fillId="0" borderId="0" xfId="0" applyFont="1" applyAlignment="1">
      <alignment vertical="center" wrapText="1"/>
    </xf>
    <xf numFmtId="0" fontId="4" fillId="26" borderId="0" xfId="0" applyFont="1" applyFill="1" applyBorder="1" applyAlignment="1">
      <alignment vertical="center" wrapText="1"/>
    </xf>
    <xf numFmtId="0" fontId="4" fillId="26" borderId="2" xfId="0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165" fontId="2" fillId="27" borderId="0" xfId="0" applyNumberFormat="1" applyFont="1" applyFill="1" applyBorder="1" applyAlignment="1">
      <alignment horizontal="center" vertical="center"/>
    </xf>
    <xf numFmtId="164" fontId="30" fillId="0" borderId="0" xfId="89" applyNumberFormat="1" applyFont="1" applyFill="1" applyBorder="1" applyAlignment="1"/>
    <xf numFmtId="164" fontId="30" fillId="0" borderId="0" xfId="89" applyNumberFormat="1" applyFont="1" applyFill="1" applyBorder="1" applyAlignment="1">
      <alignment horizontal="right"/>
    </xf>
    <xf numFmtId="0" fontId="30" fillId="0" borderId="0" xfId="89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1" fillId="27" borderId="0" xfId="2" applyFont="1" applyFill="1" applyAlignment="1">
      <alignment horizontal="left" indent="1"/>
    </xf>
    <xf numFmtId="0" fontId="0" fillId="0" borderId="1" xfId="0" applyFont="1" applyBorder="1"/>
    <xf numFmtId="165" fontId="4" fillId="27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70" fillId="0" borderId="0" xfId="0" applyFont="1"/>
    <xf numFmtId="0" fontId="70" fillId="0" borderId="0" xfId="0" applyFont="1" applyFill="1"/>
    <xf numFmtId="0" fontId="1" fillId="0" borderId="0" xfId="0" applyFont="1"/>
    <xf numFmtId="172" fontId="62" fillId="28" borderId="0" xfId="2" applyNumberFormat="1" applyFont="1" applyFill="1" applyAlignment="1">
      <alignment horizontal="left" indent="3"/>
    </xf>
    <xf numFmtId="172" fontId="62" fillId="28" borderId="0" xfId="2" applyNumberFormat="1" applyFont="1" applyFill="1" applyAlignment="1"/>
    <xf numFmtId="164" fontId="62" fillId="0" borderId="0" xfId="4" applyNumberFormat="1" applyFont="1" applyFill="1" applyBorder="1" applyAlignment="1">
      <alignment horizontal="center" vertical="center"/>
    </xf>
    <xf numFmtId="0" fontId="69" fillId="27" borderId="0" xfId="2" applyFont="1" applyFill="1" applyAlignment="1">
      <alignment wrapText="1"/>
    </xf>
    <xf numFmtId="165" fontId="69" fillId="27" borderId="0" xfId="4" applyNumberFormat="1" applyFont="1" applyFill="1" applyBorder="1" applyAlignment="1">
      <alignment horizontal="center" vertical="center"/>
    </xf>
    <xf numFmtId="0" fontId="69" fillId="28" borderId="0" xfId="2" applyFont="1" applyFill="1" applyBorder="1" applyAlignment="1">
      <alignment wrapText="1"/>
    </xf>
    <xf numFmtId="165" fontId="69" fillId="0" borderId="0" xfId="4" applyNumberFormat="1" applyFont="1" applyFill="1" applyBorder="1" applyAlignment="1">
      <alignment horizontal="center" vertical="center"/>
    </xf>
    <xf numFmtId="49" fontId="69" fillId="0" borderId="3" xfId="82" applyNumberFormat="1" applyFont="1" applyFill="1" applyBorder="1" applyAlignment="1">
      <alignment wrapText="1"/>
    </xf>
    <xf numFmtId="166" fontId="69" fillId="0" borderId="3" xfId="4" applyNumberFormat="1" applyFont="1" applyFill="1" applyBorder="1" applyAlignment="1">
      <alignment horizontal="center" vertical="center" wrapText="1"/>
    </xf>
    <xf numFmtId="0" fontId="71" fillId="0" borderId="0" xfId="0" applyFont="1"/>
    <xf numFmtId="172" fontId="72" fillId="28" borderId="0" xfId="2" applyNumberFormat="1" applyFont="1" applyFill="1" applyAlignment="1"/>
    <xf numFmtId="164" fontId="72" fillId="0" borderId="0" xfId="4" applyNumberFormat="1" applyFont="1" applyFill="1" applyBorder="1" applyAlignment="1">
      <alignment horizontal="right" vertical="center"/>
    </xf>
    <xf numFmtId="172" fontId="72" fillId="28" borderId="0" xfId="2" applyNumberFormat="1" applyFont="1" applyFill="1" applyAlignment="1">
      <alignment horizontal="left" indent="3"/>
    </xf>
    <xf numFmtId="172" fontId="5" fillId="0" borderId="0" xfId="2" applyNumberFormat="1" applyFont="1" applyFill="1" applyAlignment="1">
      <alignment horizontal="left" indent="3"/>
    </xf>
    <xf numFmtId="0" fontId="4" fillId="26" borderId="4" xfId="0" applyFont="1" applyFill="1" applyBorder="1" applyAlignment="1">
      <alignment horizontal="center" vertical="center"/>
    </xf>
    <xf numFmtId="0" fontId="4" fillId="26" borderId="4" xfId="82" applyFont="1" applyFill="1" applyBorder="1" applyAlignment="1">
      <alignment horizontal="center" vertical="center" wrapText="1"/>
    </xf>
    <xf numFmtId="0" fontId="3" fillId="26" borderId="4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5" fontId="5" fillId="0" borderId="0" xfId="4" applyNumberFormat="1" applyFont="1" applyFill="1" applyBorder="1" applyAlignment="1">
      <alignment horizontal="center" vertical="center"/>
    </xf>
    <xf numFmtId="0" fontId="68" fillId="0" borderId="0" xfId="0" applyFont="1" applyBorder="1" applyAlignment="1">
      <alignment vertical="center"/>
    </xf>
    <xf numFmtId="0" fontId="68" fillId="0" borderId="3" xfId="0" applyFont="1" applyBorder="1" applyAlignment="1">
      <alignment vertical="center"/>
    </xf>
    <xf numFmtId="0" fontId="5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vertical="center" wrapText="1"/>
    </xf>
    <xf numFmtId="164" fontId="5" fillId="0" borderId="0" xfId="4" applyNumberFormat="1" applyFont="1" applyFill="1" applyBorder="1" applyAlignment="1">
      <alignment horizontal="center" vertical="center"/>
    </xf>
    <xf numFmtId="166" fontId="69" fillId="27" borderId="0" xfId="2" applyNumberFormat="1" applyFont="1" applyFill="1" applyAlignment="1">
      <alignment horizontal="center" vertical="center" wrapText="1"/>
    </xf>
    <xf numFmtId="164" fontId="69" fillId="0" borderId="0" xfId="2" applyNumberFormat="1" applyFont="1" applyBorder="1" applyAlignment="1">
      <alignment horizontal="center" vertical="center" wrapText="1"/>
    </xf>
    <xf numFmtId="0" fontId="4" fillId="26" borderId="2" xfId="0" applyFont="1" applyFill="1" applyBorder="1" applyAlignment="1">
      <alignment horizontal="center" vertical="center"/>
    </xf>
    <xf numFmtId="0" fontId="4" fillId="26" borderId="2" xfId="0" applyFont="1" applyFill="1" applyBorder="1" applyAlignment="1">
      <alignment horizontal="center" vertical="center" wrapText="1"/>
    </xf>
    <xf numFmtId="0" fontId="4" fillId="26" borderId="0" xfId="0" applyFont="1" applyFill="1" applyBorder="1" applyAlignment="1">
      <alignment horizontal="center" vertical="center"/>
    </xf>
    <xf numFmtId="0" fontId="4" fillId="26" borderId="1" xfId="0" applyFont="1" applyFill="1" applyBorder="1" applyAlignment="1">
      <alignment horizontal="center" vertical="center"/>
    </xf>
    <xf numFmtId="0" fontId="4" fillId="26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3" fontId="10" fillId="0" borderId="0" xfId="3" applyNumberFormat="1" applyFont="1" applyFill="1" applyBorder="1" applyAlignment="1">
      <alignment horizontal="left" vertical="center"/>
    </xf>
    <xf numFmtId="0" fontId="4" fillId="26" borderId="2" xfId="0" applyFont="1" applyFill="1" applyBorder="1" applyAlignment="1">
      <alignment horizontal="center" vertical="center"/>
    </xf>
    <xf numFmtId="0" fontId="4" fillId="26" borderId="3" xfId="0" applyFont="1" applyFill="1" applyBorder="1" applyAlignment="1">
      <alignment horizontal="center" vertical="center"/>
    </xf>
    <xf numFmtId="0" fontId="4" fillId="26" borderId="2" xfId="0" applyFont="1" applyFill="1" applyBorder="1" applyAlignment="1">
      <alignment horizontal="center" vertical="center" wrapText="1"/>
    </xf>
    <xf numFmtId="0" fontId="4" fillId="26" borderId="3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4" fillId="26" borderId="0" xfId="0" applyFont="1" applyFill="1" applyBorder="1" applyAlignment="1">
      <alignment horizontal="center" vertical="center"/>
    </xf>
    <xf numFmtId="0" fontId="4" fillId="26" borderId="1" xfId="0" applyFont="1" applyFill="1" applyBorder="1" applyAlignment="1">
      <alignment horizontal="center" vertical="center"/>
    </xf>
    <xf numFmtId="0" fontId="4" fillId="26" borderId="17" xfId="0" applyFont="1" applyFill="1" applyBorder="1" applyAlignment="1">
      <alignment horizontal="center" vertical="center"/>
    </xf>
    <xf numFmtId="0" fontId="4" fillId="26" borderId="17" xfId="0" applyFont="1" applyFill="1" applyBorder="1" applyAlignment="1">
      <alignment horizontal="center" vertical="center" wrapText="1"/>
    </xf>
    <xf numFmtId="0" fontId="4" fillId="26" borderId="0" xfId="0" applyFont="1" applyFill="1" applyBorder="1" applyAlignment="1">
      <alignment horizontal="center" vertical="center" wrapText="1"/>
    </xf>
    <xf numFmtId="0" fontId="4" fillId="2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8" fillId="0" borderId="0" xfId="0" applyFont="1" applyBorder="1" applyAlignment="1">
      <alignment horizontal="center" vertical="center" wrapText="1"/>
    </xf>
    <xf numFmtId="0" fontId="3" fillId="26" borderId="2" xfId="0" applyFont="1" applyFill="1" applyBorder="1" applyAlignment="1">
      <alignment horizontal="center" vertical="center" wrapText="1"/>
    </xf>
    <xf numFmtId="0" fontId="3" fillId="26" borderId="0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3" fillId="27" borderId="0" xfId="0" applyFont="1" applyFill="1" applyAlignment="1">
      <alignment horizontal="left"/>
    </xf>
    <xf numFmtId="0" fontId="10" fillId="0" borderId="0" xfId="3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6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57" fillId="0" borderId="0" xfId="3" applyFont="1" applyAlignment="1">
      <alignment horizontal="left" wrapText="1"/>
    </xf>
    <xf numFmtId="0" fontId="73" fillId="28" borderId="0" xfId="82" applyFont="1" applyFill="1" applyBorder="1" applyAlignment="1">
      <alignment horizontal="center" vertical="center" wrapText="1"/>
    </xf>
    <xf numFmtId="0" fontId="73" fillId="28" borderId="1" xfId="82" applyFont="1" applyFill="1" applyBorder="1" applyAlignment="1">
      <alignment horizontal="center" vertical="center" wrapText="1"/>
    </xf>
    <xf numFmtId="0" fontId="52" fillId="26" borderId="1" xfId="82" applyFont="1" applyFill="1" applyBorder="1" applyAlignment="1">
      <alignment horizontal="center" vertical="center" wrapText="1"/>
    </xf>
    <xf numFmtId="0" fontId="52" fillId="26" borderId="17" xfId="82" applyFont="1" applyFill="1" applyBorder="1" applyAlignment="1">
      <alignment horizontal="center" vertical="center" wrapText="1"/>
    </xf>
    <xf numFmtId="49" fontId="51" fillId="27" borderId="0" xfId="82" applyNumberFormat="1" applyFont="1" applyFill="1" applyBorder="1" applyAlignment="1">
      <alignment horizontal="left" wrapText="1"/>
    </xf>
    <xf numFmtId="0" fontId="51" fillId="27" borderId="0" xfId="2" applyFont="1" applyFill="1" applyAlignment="1">
      <alignment horizontal="left" wrapText="1" indent="2"/>
    </xf>
    <xf numFmtId="0" fontId="4" fillId="0" borderId="0" xfId="0" applyFont="1" applyFill="1" applyBorder="1" applyAlignment="1">
      <alignment horizontal="center" vertical="center"/>
    </xf>
    <xf numFmtId="0" fontId="10" fillId="0" borderId="0" xfId="3" applyFont="1" applyAlignment="1">
      <alignment horizontal="left"/>
    </xf>
    <xf numFmtId="49" fontId="69" fillId="0" borderId="3" xfId="82" applyNumberFormat="1" applyFont="1" applyFill="1" applyBorder="1" applyAlignment="1">
      <alignment horizontal="center" wrapText="1"/>
    </xf>
    <xf numFmtId="0" fontId="69" fillId="27" borderId="0" xfId="2" applyFont="1" applyFill="1" applyAlignment="1">
      <alignment horizontal="left" wrapText="1" indent="3"/>
    </xf>
    <xf numFmtId="0" fontId="69" fillId="28" borderId="0" xfId="2" applyFont="1" applyFill="1" applyBorder="1" applyAlignment="1">
      <alignment horizontal="left" wrapText="1" indent="1"/>
    </xf>
    <xf numFmtId="0" fontId="58" fillId="0" borderId="3" xfId="0" applyFont="1" applyBorder="1" applyAlignment="1">
      <alignment horizontal="center" vertical="center" wrapText="1"/>
    </xf>
  </cellXfs>
  <cellStyles count="137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 2" xfId="95"/>
    <cellStyle name="20% - Énfasis2 2" xfId="96"/>
    <cellStyle name="20% - Énfasis3 2" xfId="97"/>
    <cellStyle name="20% - Énfasis4 2" xfId="98"/>
    <cellStyle name="20% - Énfasis5 2" xfId="99"/>
    <cellStyle name="20% - Énfasis6 2" xfId="100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 2" xfId="101"/>
    <cellStyle name="40% - Énfasis2 2" xfId="102"/>
    <cellStyle name="40% - Énfasis3 2" xfId="103"/>
    <cellStyle name="40% - Énfasis4 2" xfId="104"/>
    <cellStyle name="40% - Énfasis5 2" xfId="105"/>
    <cellStyle name="40% - Énfasis6 2" xfId="106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 2" xfId="107"/>
    <cellStyle name="60% - Énfasis2 2" xfId="108"/>
    <cellStyle name="60% - Énfasis3 2" xfId="109"/>
    <cellStyle name="60% - Énfasis4 2" xfId="110"/>
    <cellStyle name="60% - Énfasis5 2" xfId="111"/>
    <cellStyle name="60% - Énfasis6 2" xfId="112"/>
    <cellStyle name="Accent1" xfId="60"/>
    <cellStyle name="Accent2" xfId="61"/>
    <cellStyle name="Accent3" xfId="62"/>
    <cellStyle name="Accent4" xfId="63"/>
    <cellStyle name="Accent5" xfId="64"/>
    <cellStyle name="Accent6" xfId="65"/>
    <cellStyle name="annee semestre" xfId="5"/>
    <cellStyle name="Bad" xfId="66"/>
    <cellStyle name="Buena 2" xfId="123"/>
    <cellStyle name="Calculation" xfId="67"/>
    <cellStyle name="Cálculo 2" xfId="120"/>
    <cellStyle name="Celda de comprobación 2" xfId="121"/>
    <cellStyle name="Celda vinculada 2" xfId="129"/>
    <cellStyle name="Check Cell" xfId="68"/>
    <cellStyle name="clsAltData" xfId="6"/>
    <cellStyle name="clsColumnHeader" xfId="7"/>
    <cellStyle name="clsData" xfId="8"/>
    <cellStyle name="clsDefault" xfId="9"/>
    <cellStyle name="clsRowHeader" xfId="10"/>
    <cellStyle name="Comma 2" xfId="11"/>
    <cellStyle name="données" xfId="12"/>
    <cellStyle name="donnéesbord" xfId="13"/>
    <cellStyle name="Encabezado 4 2" xfId="127"/>
    <cellStyle name="Énfasis1 2" xfId="113"/>
    <cellStyle name="Énfasis2 2" xfId="114"/>
    <cellStyle name="Énfasis3 2" xfId="115"/>
    <cellStyle name="Énfasis4 2" xfId="116"/>
    <cellStyle name="Énfasis5 2" xfId="117"/>
    <cellStyle name="Énfasis6 2" xfId="118"/>
    <cellStyle name="Entrada 2" xfId="128"/>
    <cellStyle name="Explanatory Text" xfId="70"/>
    <cellStyle name="Good" xfId="71"/>
    <cellStyle name="H1" xfId="14"/>
    <cellStyle name="H2" xfId="15"/>
    <cellStyle name="H3" xfId="16"/>
    <cellStyle name="H4" xfId="17"/>
    <cellStyle name="H5" xfId="18"/>
    <cellStyle name="Heading 1" xfId="72"/>
    <cellStyle name="Heading 2" xfId="73"/>
    <cellStyle name="Heading 3" xfId="74"/>
    <cellStyle name="Heading 4" xfId="75"/>
    <cellStyle name="Hipervínculo" xfId="3" builtinId="8"/>
    <cellStyle name="Hipervínculo 2" xfId="38"/>
    <cellStyle name="Hipervínculo 2 2" xfId="41"/>
    <cellStyle name="Hipervínculo 2 2 2" xfId="90"/>
    <cellStyle name="Hipervínculo 3" xfId="87"/>
    <cellStyle name="Hipervínculo 4" xfId="134"/>
    <cellStyle name="Hyperlink 2" xfId="19"/>
    <cellStyle name="Îáű÷íűé_ÂŰŐÎÄ" xfId="20"/>
    <cellStyle name="Incorrecto 2" xfId="119"/>
    <cellStyle name="Input" xfId="76"/>
    <cellStyle name="Linked Cell" xfId="77"/>
    <cellStyle name="Millares" xfId="1" builtinId="3"/>
    <cellStyle name="Millares 2" xfId="69"/>
    <cellStyle name="Millares 2 2" xfId="91"/>
    <cellStyle name="Neutral 2" xfId="21"/>
    <cellStyle name="Normal" xfId="0" builtinId="0"/>
    <cellStyle name="Normal 2" xfId="2"/>
    <cellStyle name="Normal 2 2" xfId="23"/>
    <cellStyle name="Normal 2 2 2" xfId="136"/>
    <cellStyle name="Normal 2 3" xfId="22"/>
    <cellStyle name="Normal 2 4" xfId="4"/>
    <cellStyle name="Normal 2 4 2" xfId="39"/>
    <cellStyle name="Normal 2 4 2 2" xfId="89"/>
    <cellStyle name="Normal 3" xfId="24"/>
    <cellStyle name="Normal 4" xfId="25"/>
    <cellStyle name="Normal 5" xfId="83"/>
    <cellStyle name="Normal 5 2" xfId="85"/>
    <cellStyle name="Normal 5 2 2" xfId="94"/>
    <cellStyle name="Normal 5 3" xfId="93"/>
    <cellStyle name="Normal 5 4" xfId="86"/>
    <cellStyle name="Normal 5 5" xfId="135"/>
    <cellStyle name="Normal 6" xfId="84"/>
    <cellStyle name="Normal 6 2" xfId="88"/>
    <cellStyle name="Normal_CONSTANT 2" xfId="40"/>
    <cellStyle name="Normal_REMESAS" xfId="82"/>
    <cellStyle name="normální 2" xfId="26"/>
    <cellStyle name="normální 2 2" xfId="27"/>
    <cellStyle name="normální_povolenikpopbytudlezemipuvodu942000" xfId="28"/>
    <cellStyle name="Notas 2" xfId="130"/>
    <cellStyle name="Note" xfId="78"/>
    <cellStyle name="Note 2" xfId="92"/>
    <cellStyle name="notes" xfId="29"/>
    <cellStyle name="Output" xfId="79"/>
    <cellStyle name="Percent 2" xfId="30"/>
    <cellStyle name="Salida 2" xfId="131"/>
    <cellStyle name="semestre" xfId="31"/>
    <cellStyle name="Style 27" xfId="32"/>
    <cellStyle name="Style 35" xfId="33"/>
    <cellStyle name="Style 36" xfId="34"/>
    <cellStyle name="tête chapitre" xfId="35"/>
    <cellStyle name="Texto de advertencia 2" xfId="133"/>
    <cellStyle name="Texto explicativo 2" xfId="122"/>
    <cellStyle name="Title" xfId="80"/>
    <cellStyle name="titre" xfId="36"/>
    <cellStyle name="Título 1 2" xfId="124"/>
    <cellStyle name="Título 2 2" xfId="125"/>
    <cellStyle name="Título 3 2" xfId="126"/>
    <cellStyle name="Título 4" xfId="132"/>
    <cellStyle name="Total 2" xfId="37"/>
    <cellStyle name="Warning Text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1</xdr:row>
      <xdr:rowOff>209550</xdr:rowOff>
    </xdr:from>
    <xdr:ext cx="1962150" cy="60960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52425"/>
          <a:ext cx="1962150" cy="6096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331471</xdr:colOff>
      <xdr:row>1</xdr:row>
      <xdr:rowOff>9525</xdr:rowOff>
    </xdr:from>
    <xdr:ext cx="1706879" cy="55245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6" y="304800"/>
          <a:ext cx="1706879" cy="5524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91019</xdr:colOff>
      <xdr:row>0</xdr:row>
      <xdr:rowOff>275166</xdr:rowOff>
    </xdr:from>
    <xdr:ext cx="1845731" cy="660401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275166"/>
          <a:ext cx="1845731" cy="66040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127004</xdr:colOff>
      <xdr:row>1</xdr:row>
      <xdr:rowOff>3175</xdr:rowOff>
    </xdr:from>
    <xdr:ext cx="2071687" cy="626534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7" y="183092"/>
          <a:ext cx="2071687" cy="62653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31750</xdr:colOff>
      <xdr:row>1</xdr:row>
      <xdr:rowOff>247650</xdr:rowOff>
    </xdr:from>
    <xdr:ext cx="1460499" cy="472017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5" y="409575"/>
          <a:ext cx="1460499" cy="47201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83344</xdr:colOff>
      <xdr:row>1</xdr:row>
      <xdr:rowOff>60550</xdr:rowOff>
    </xdr:from>
    <xdr:ext cx="1535905" cy="51095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41550"/>
          <a:ext cx="1535905" cy="510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.org/en/development/desa/population/migration/data/empirical2/index.shtml" TargetMode="External"/><Relationship Id="rId1" Type="http://schemas.openxmlformats.org/officeDocument/2006/relationships/hyperlink" Target="http://www.un.org/en/development/desa/population/migration/data/empirical2/index.s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n.org/en/development/desa/population/migration/data/empirical2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n.org/en/development/desa/population/migration/data/empirical2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n.org/en/development/desa/population/migration/data/empirical2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n.org/en/development/desa/population/migration/data/empirical2/index.s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n.org/en/development/desa/population/migration/data/empirical2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showGridLines="0" tabSelected="1" zoomScaleNormal="100" workbookViewId="0"/>
  </sheetViews>
  <sheetFormatPr baseColWidth="10" defaultColWidth="11.44140625" defaultRowHeight="14.4" x14ac:dyDescent="0.3"/>
  <cols>
    <col min="1" max="1" width="5.44140625" style="144" customWidth="1"/>
    <col min="2" max="2" width="10.33203125" style="144" customWidth="1"/>
    <col min="3" max="3" width="13.33203125" style="144" customWidth="1"/>
    <col min="4" max="4" width="15.109375" style="144" customWidth="1"/>
    <col min="5" max="5" width="1.44140625" style="144" customWidth="1"/>
    <col min="6" max="6" width="15.6640625" style="144" customWidth="1"/>
    <col min="7" max="7" width="13.5546875" style="144" customWidth="1"/>
    <col min="8" max="8" width="3" style="144" customWidth="1"/>
    <col min="9" max="9" width="14.44140625" style="144" customWidth="1"/>
    <col min="10" max="10" width="13.6640625" style="144" customWidth="1"/>
    <col min="11" max="12" width="1.88671875" style="144" customWidth="1"/>
    <col min="13" max="13" width="13" style="144" customWidth="1"/>
    <col min="14" max="14" width="13.33203125" style="144" customWidth="1"/>
    <col min="15" max="15" width="3.6640625" style="144" customWidth="1"/>
    <col min="16" max="16" width="12.5546875" style="144" customWidth="1"/>
    <col min="17" max="17" width="12" style="144" customWidth="1"/>
    <col min="18" max="18" width="3.109375" style="144" customWidth="1"/>
    <col min="19" max="19" width="12.6640625" style="144" customWidth="1"/>
    <col min="20" max="20" width="15.33203125" style="144" customWidth="1"/>
    <col min="21" max="16384" width="11.44140625" style="144"/>
  </cols>
  <sheetData>
    <row r="1" spans="1:31" ht="18" x14ac:dyDescent="0.3"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31" ht="32.25" customHeight="1" x14ac:dyDescent="0.3">
      <c r="E2" s="238" t="s">
        <v>129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31" ht="31.5" customHeight="1" x14ac:dyDescent="0.3"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31" ht="26.25" customHeight="1" thickBot="1" x14ac:dyDescent="0.35">
      <c r="B4" s="33"/>
      <c r="C4" s="33"/>
      <c r="D4" s="33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</row>
    <row r="5" spans="1:31" ht="26.25" customHeight="1" thickBot="1" x14ac:dyDescent="0.35">
      <c r="A5" s="33"/>
      <c r="B5" s="232" t="s">
        <v>19</v>
      </c>
      <c r="C5" s="242" t="s">
        <v>124</v>
      </c>
      <c r="D5" s="242"/>
      <c r="E5" s="242"/>
      <c r="F5" s="242"/>
      <c r="G5" s="242"/>
      <c r="H5" s="242"/>
      <c r="I5" s="242"/>
      <c r="J5" s="242"/>
      <c r="K5" s="224"/>
      <c r="L5" s="224"/>
      <c r="M5" s="243" t="s">
        <v>125</v>
      </c>
      <c r="N5" s="243"/>
      <c r="O5" s="243"/>
      <c r="P5" s="243"/>
      <c r="Q5" s="243"/>
      <c r="R5" s="243"/>
      <c r="S5" s="243"/>
      <c r="T5" s="243"/>
      <c r="U5" s="33"/>
    </row>
    <row r="6" spans="1:31" ht="15" customHeight="1" x14ac:dyDescent="0.3">
      <c r="A6" s="33"/>
      <c r="B6" s="240"/>
      <c r="C6" s="234" t="s">
        <v>97</v>
      </c>
      <c r="D6" s="234" t="s">
        <v>98</v>
      </c>
      <c r="E6" s="223"/>
      <c r="F6" s="232" t="s">
        <v>20</v>
      </c>
      <c r="G6" s="232"/>
      <c r="H6" s="58"/>
      <c r="I6" s="234" t="s">
        <v>99</v>
      </c>
      <c r="J6" s="234"/>
      <c r="K6" s="61"/>
      <c r="L6" s="61"/>
      <c r="M6" s="234" t="s">
        <v>97</v>
      </c>
      <c r="N6" s="234" t="s">
        <v>100</v>
      </c>
      <c r="O6" s="223"/>
      <c r="P6" s="232" t="s">
        <v>20</v>
      </c>
      <c r="Q6" s="232"/>
      <c r="R6" s="58"/>
      <c r="S6" s="234" t="s">
        <v>126</v>
      </c>
      <c r="T6" s="234"/>
      <c r="U6" s="33"/>
    </row>
    <row r="7" spans="1:31" ht="15" customHeight="1" x14ac:dyDescent="0.3">
      <c r="A7" s="33"/>
      <c r="B7" s="240"/>
      <c r="C7" s="244"/>
      <c r="D7" s="244"/>
      <c r="E7" s="225"/>
      <c r="F7" s="233"/>
      <c r="G7" s="233"/>
      <c r="H7" s="225"/>
      <c r="I7" s="235"/>
      <c r="J7" s="235"/>
      <c r="K7" s="225"/>
      <c r="L7" s="225"/>
      <c r="M7" s="244"/>
      <c r="N7" s="244"/>
      <c r="O7" s="225"/>
      <c r="P7" s="233"/>
      <c r="Q7" s="233"/>
      <c r="R7" s="225"/>
      <c r="S7" s="235"/>
      <c r="T7" s="235"/>
      <c r="U7" s="2"/>
    </row>
    <row r="8" spans="1:31" ht="30.75" customHeight="1" thickBot="1" x14ac:dyDescent="0.35">
      <c r="A8" s="33"/>
      <c r="B8" s="241"/>
      <c r="C8" s="245"/>
      <c r="D8" s="245"/>
      <c r="E8" s="226"/>
      <c r="F8" s="226" t="s">
        <v>0</v>
      </c>
      <c r="G8" s="226" t="s">
        <v>1</v>
      </c>
      <c r="H8" s="226"/>
      <c r="I8" s="227" t="s">
        <v>101</v>
      </c>
      <c r="J8" s="227" t="s">
        <v>102</v>
      </c>
      <c r="K8" s="226"/>
      <c r="L8" s="226"/>
      <c r="M8" s="245"/>
      <c r="N8" s="245"/>
      <c r="O8" s="226"/>
      <c r="P8" s="226" t="s">
        <v>0</v>
      </c>
      <c r="Q8" s="226" t="s">
        <v>1</v>
      </c>
      <c r="R8" s="226"/>
      <c r="S8" s="227" t="s">
        <v>101</v>
      </c>
      <c r="T8" s="227" t="s">
        <v>102</v>
      </c>
      <c r="U8" s="2"/>
    </row>
    <row r="9" spans="1:31" x14ac:dyDescent="0.3">
      <c r="B9" s="218">
        <v>1960</v>
      </c>
      <c r="C9" s="99">
        <v>3023357.8269999996</v>
      </c>
      <c r="D9" s="99">
        <f>77114679/1000</f>
        <v>77114.679000000004</v>
      </c>
      <c r="E9" s="73"/>
      <c r="F9" s="142">
        <f>40868847/1000</f>
        <v>40868.847000000002</v>
      </c>
      <c r="G9" s="142">
        <f>36245832/1000</f>
        <v>36245.832000000002</v>
      </c>
      <c r="H9" s="98"/>
      <c r="I9" s="142">
        <v>33873.281000000003</v>
      </c>
      <c r="J9" s="142">
        <v>43241.398000000001</v>
      </c>
      <c r="K9" s="73"/>
      <c r="L9" s="73"/>
      <c r="M9" s="94" t="s">
        <v>18</v>
      </c>
      <c r="N9" s="94" t="s">
        <v>18</v>
      </c>
      <c r="O9" s="94"/>
      <c r="P9" s="30" t="s">
        <v>18</v>
      </c>
      <c r="Q9" s="30" t="s">
        <v>18</v>
      </c>
      <c r="R9" s="94"/>
      <c r="S9" s="94" t="s">
        <v>18</v>
      </c>
      <c r="T9" s="94" t="s">
        <v>18</v>
      </c>
      <c r="U9" s="2"/>
    </row>
    <row r="10" spans="1:31" x14ac:dyDescent="0.3">
      <c r="B10" s="218">
        <v>1965</v>
      </c>
      <c r="C10" s="99">
        <v>3331670.389</v>
      </c>
      <c r="D10" s="99">
        <f>80796968/1000</f>
        <v>80796.967999999993</v>
      </c>
      <c r="E10" s="73"/>
      <c r="F10" s="142">
        <f>42556443/1000</f>
        <v>42556.442999999999</v>
      </c>
      <c r="G10" s="142">
        <f>38240525/1000</f>
        <v>38240.525000000001</v>
      </c>
      <c r="H10" s="98"/>
      <c r="I10" s="142">
        <v>37635.279000000002</v>
      </c>
      <c r="J10" s="142">
        <v>43161.688999999998</v>
      </c>
      <c r="K10" s="73"/>
      <c r="L10" s="73"/>
      <c r="M10" s="23">
        <f>((C10/C9)-1)*100</f>
        <v>10.197686798652317</v>
      </c>
      <c r="N10" s="23">
        <f>((D10/D9)-1)*100</f>
        <v>4.7750817973319926</v>
      </c>
      <c r="O10" s="23"/>
      <c r="P10" s="184">
        <f t="shared" ref="P10:T20" si="0">((F10/F9)-1)*100</f>
        <v>4.1292968211214642</v>
      </c>
      <c r="Q10" s="184">
        <f t="shared" si="0"/>
        <v>5.5032341373761229</v>
      </c>
      <c r="R10" s="23"/>
      <c r="S10" s="23">
        <f t="shared" si="0"/>
        <v>11.106092734270412</v>
      </c>
      <c r="T10" s="23">
        <f>((J10/J9)-1)*100</f>
        <v>-0.18433492830181031</v>
      </c>
      <c r="U10" s="22"/>
    </row>
    <row r="11" spans="1:31" x14ac:dyDescent="0.3">
      <c r="B11" s="218">
        <v>1970</v>
      </c>
      <c r="C11" s="99">
        <v>3685776.6169999996</v>
      </c>
      <c r="D11" s="99">
        <f>84460125/1000</f>
        <v>84460.125</v>
      </c>
      <c r="E11" s="73"/>
      <c r="F11" s="142">
        <f>44255872/1000</f>
        <v>44255.872000000003</v>
      </c>
      <c r="G11" s="142">
        <f>40204253/1000</f>
        <v>40204.252999999997</v>
      </c>
      <c r="H11" s="98"/>
      <c r="I11" s="142">
        <v>41085.302000000003</v>
      </c>
      <c r="J11" s="142">
        <v>43374.822999999997</v>
      </c>
      <c r="K11" s="73"/>
      <c r="L11" s="73"/>
      <c r="M11" s="23">
        <f t="shared" ref="M11:N20" si="1">((C11/C10)-1)*100</f>
        <v>10.628489215773973</v>
      </c>
      <c r="N11" s="23">
        <f t="shared" si="1"/>
        <v>4.5337802774975566</v>
      </c>
      <c r="O11" s="23"/>
      <c r="P11" s="184">
        <f t="shared" si="0"/>
        <v>3.9933530158993813</v>
      </c>
      <c r="Q11" s="184">
        <f t="shared" si="0"/>
        <v>5.135201464938044</v>
      </c>
      <c r="R11" s="23"/>
      <c r="S11" s="23">
        <f t="shared" si="0"/>
        <v>9.1669919598576612</v>
      </c>
      <c r="T11" s="23">
        <f t="shared" si="0"/>
        <v>0.49380366000042475</v>
      </c>
      <c r="U11" s="2"/>
    </row>
    <row r="12" spans="1:31" x14ac:dyDescent="0.3">
      <c r="B12" s="218">
        <v>1975</v>
      </c>
      <c r="C12" s="99">
        <v>4061316.7859999998</v>
      </c>
      <c r="D12" s="99">
        <f>90368010/1000</f>
        <v>90368.01</v>
      </c>
      <c r="E12" s="73"/>
      <c r="F12" s="142">
        <f>47218412/1000</f>
        <v>47218.411999999997</v>
      </c>
      <c r="G12" s="142">
        <f>43149598/1000</f>
        <v>43149.597999999998</v>
      </c>
      <c r="H12" s="98"/>
      <c r="I12" s="142">
        <v>46218.887999999999</v>
      </c>
      <c r="J12" s="142">
        <v>44149.122000000003</v>
      </c>
      <c r="K12" s="73"/>
      <c r="L12" s="73"/>
      <c r="M12" s="23">
        <f t="shared" si="1"/>
        <v>10.188902042187987</v>
      </c>
      <c r="N12" s="23">
        <f t="shared" si="1"/>
        <v>6.9948807203399133</v>
      </c>
      <c r="O12" s="23"/>
      <c r="P12" s="184">
        <f t="shared" si="0"/>
        <v>6.6941173365649531</v>
      </c>
      <c r="Q12" s="184">
        <f t="shared" si="0"/>
        <v>7.3259537989674994</v>
      </c>
      <c r="R12" s="23"/>
      <c r="S12" s="23">
        <f t="shared" si="0"/>
        <v>12.494945272642743</v>
      </c>
      <c r="T12" s="23">
        <f t="shared" si="0"/>
        <v>1.7851346621057251</v>
      </c>
      <c r="U12" s="2"/>
    </row>
    <row r="13" spans="1:31" x14ac:dyDescent="0.3">
      <c r="B13" s="218">
        <v>1980</v>
      </c>
      <c r="C13" s="99">
        <v>4437609.074</v>
      </c>
      <c r="D13" s="99">
        <f>101983149/1000</f>
        <v>101983.149</v>
      </c>
      <c r="E13" s="73"/>
      <c r="F13" s="142">
        <f>53301668/1000</f>
        <v>53301.667999999998</v>
      </c>
      <c r="G13" s="142">
        <f>48681481/1000</f>
        <v>48681.481</v>
      </c>
      <c r="H13" s="98"/>
      <c r="I13" s="142">
        <v>50688.014000000003</v>
      </c>
      <c r="J13" s="142">
        <v>51295.135000000002</v>
      </c>
      <c r="K13" s="73"/>
      <c r="L13" s="73"/>
      <c r="M13" s="23">
        <f t="shared" si="1"/>
        <v>9.2652779339237767</v>
      </c>
      <c r="N13" s="23">
        <f t="shared" si="1"/>
        <v>12.853153455520383</v>
      </c>
      <c r="O13" s="23"/>
      <c r="P13" s="184">
        <f t="shared" si="0"/>
        <v>12.88322868630145</v>
      </c>
      <c r="Q13" s="184">
        <f t="shared" si="0"/>
        <v>12.8202422650612</v>
      </c>
      <c r="R13" s="23"/>
      <c r="S13" s="23">
        <f t="shared" si="0"/>
        <v>9.6694797157387278</v>
      </c>
      <c r="T13" s="23">
        <f t="shared" si="0"/>
        <v>16.186081797957375</v>
      </c>
      <c r="U13" s="2"/>
    </row>
    <row r="14" spans="1:31" x14ac:dyDescent="0.3">
      <c r="B14" s="218">
        <v>1985</v>
      </c>
      <c r="C14" s="99">
        <v>4846247.0279999999</v>
      </c>
      <c r="D14" s="99">
        <f>113206691/1000</f>
        <v>113206.69100000001</v>
      </c>
      <c r="E14" s="73"/>
      <c r="F14" s="142">
        <f>59337478/1000</f>
        <v>59337.478000000003</v>
      </c>
      <c r="G14" s="142">
        <f>53869213/1000</f>
        <v>53869.213000000003</v>
      </c>
      <c r="H14" s="98"/>
      <c r="I14" s="142">
        <v>55406.116000000002</v>
      </c>
      <c r="J14" s="142">
        <v>57800.574999999997</v>
      </c>
      <c r="K14" s="73"/>
      <c r="L14" s="73"/>
      <c r="M14" s="23">
        <f t="shared" si="1"/>
        <v>9.208516279503165</v>
      </c>
      <c r="N14" s="23">
        <f t="shared" si="1"/>
        <v>11.005290687778224</v>
      </c>
      <c r="O14" s="23"/>
      <c r="P14" s="184">
        <f t="shared" si="0"/>
        <v>11.32386701294228</v>
      </c>
      <c r="Q14" s="184">
        <f t="shared" si="0"/>
        <v>10.656479411544616</v>
      </c>
      <c r="R14" s="23"/>
      <c r="S14" s="23">
        <f t="shared" si="0"/>
        <v>9.3081216399600883</v>
      </c>
      <c r="T14" s="23">
        <f t="shared" si="0"/>
        <v>12.682372314645418</v>
      </c>
      <c r="U14" s="2"/>
      <c r="V14" s="2"/>
      <c r="W14" s="42"/>
      <c r="X14" s="42"/>
      <c r="Y14" s="42"/>
      <c r="Z14" s="43"/>
      <c r="AA14" s="44"/>
      <c r="AB14" s="42"/>
      <c r="AC14" s="42"/>
      <c r="AD14" s="2"/>
      <c r="AE14" s="2"/>
    </row>
    <row r="15" spans="1:31" x14ac:dyDescent="0.3">
      <c r="B15" s="218">
        <v>1990</v>
      </c>
      <c r="C15" s="100">
        <v>5309667.699</v>
      </c>
      <c r="D15" s="100">
        <f>152563212/1000</f>
        <v>152563.212</v>
      </c>
      <c r="E15" s="73"/>
      <c r="F15" s="102">
        <f>77747510/1000</f>
        <v>77747.509999999995</v>
      </c>
      <c r="G15" s="102">
        <f>74815702/1000</f>
        <v>74815.702000000005</v>
      </c>
      <c r="H15" s="98"/>
      <c r="I15" s="142">
        <f>82378628/1000</f>
        <v>82378.627999999997</v>
      </c>
      <c r="J15" s="142">
        <f>70184584/1000</f>
        <v>70184.584000000003</v>
      </c>
      <c r="K15" s="73"/>
      <c r="L15" s="73"/>
      <c r="M15" s="23">
        <f t="shared" si="1"/>
        <v>9.562464899591582</v>
      </c>
      <c r="N15" s="23">
        <f t="shared" si="1"/>
        <v>34.765189806669625</v>
      </c>
      <c r="O15" s="23"/>
      <c r="P15" s="184">
        <f t="shared" si="0"/>
        <v>31.025976533751564</v>
      </c>
      <c r="Q15" s="184">
        <f t="shared" si="0"/>
        <v>38.883970701409723</v>
      </c>
      <c r="R15" s="23"/>
      <c r="S15" s="23">
        <f t="shared" si="0"/>
        <v>48.681470471599184</v>
      </c>
      <c r="T15" s="23">
        <f t="shared" si="0"/>
        <v>21.425407965232178</v>
      </c>
      <c r="U15" s="2"/>
      <c r="V15" s="2"/>
      <c r="W15" s="42"/>
      <c r="X15" s="42"/>
      <c r="Y15" s="42"/>
      <c r="Z15" s="43"/>
      <c r="AA15" s="44"/>
      <c r="AB15" s="42"/>
      <c r="AC15" s="42"/>
      <c r="AD15" s="2"/>
      <c r="AE15" s="2"/>
    </row>
    <row r="16" spans="1:31" x14ac:dyDescent="0.3">
      <c r="B16" s="218">
        <v>1995</v>
      </c>
      <c r="C16" s="99">
        <v>5735123.0839999998</v>
      </c>
      <c r="D16" s="99">
        <f>160801752/1000</f>
        <v>160801.75200000001</v>
      </c>
      <c r="E16" s="73"/>
      <c r="F16" s="142">
        <f>81737477/1000</f>
        <v>81737.476999999999</v>
      </c>
      <c r="G16" s="142">
        <f>79064275/1000</f>
        <v>79064.274999999994</v>
      </c>
      <c r="H16" s="98"/>
      <c r="I16" s="142">
        <f>92306854/1000</f>
        <v>92306.854000000007</v>
      </c>
      <c r="J16" s="142">
        <f>68494898/1000</f>
        <v>68494.898000000001</v>
      </c>
      <c r="K16" s="73"/>
      <c r="L16" s="73"/>
      <c r="M16" s="23">
        <f t="shared" si="1"/>
        <v>8.0128439126261775</v>
      </c>
      <c r="N16" s="23">
        <f t="shared" si="1"/>
        <v>5.4000829505346237</v>
      </c>
      <c r="O16" s="23"/>
      <c r="P16" s="184">
        <f t="shared" si="0"/>
        <v>5.1319547082601114</v>
      </c>
      <c r="Q16" s="184">
        <f t="shared" si="0"/>
        <v>5.6787183524656282</v>
      </c>
      <c r="R16" s="23"/>
      <c r="S16" s="23">
        <f t="shared" si="0"/>
        <v>12.05194386097328</v>
      </c>
      <c r="T16" s="23">
        <f t="shared" si="0"/>
        <v>-2.4074888012444506</v>
      </c>
      <c r="U16" s="2"/>
      <c r="V16" s="2"/>
      <c r="W16" s="2"/>
      <c r="X16" s="2"/>
      <c r="Y16" s="2"/>
      <c r="Z16" s="43"/>
      <c r="AA16" s="2"/>
      <c r="AB16" s="2"/>
      <c r="AC16" s="2"/>
      <c r="AD16" s="2"/>
      <c r="AE16" s="2"/>
    </row>
    <row r="17" spans="2:31" x14ac:dyDescent="0.3">
      <c r="B17" s="218">
        <v>2000</v>
      </c>
      <c r="C17" s="100">
        <v>6126622.1210000003</v>
      </c>
      <c r="D17" s="100">
        <f>172703309/1000</f>
        <v>172703.30900000001</v>
      </c>
      <c r="E17" s="73"/>
      <c r="F17" s="102">
        <f>87884839/1000</f>
        <v>87884.839000000007</v>
      </c>
      <c r="G17" s="102">
        <f>84818470/1000</f>
        <v>84818.47</v>
      </c>
      <c r="H17" s="98"/>
      <c r="I17" s="142">
        <f>103375363/1000</f>
        <v>103375.363</v>
      </c>
      <c r="J17" s="142">
        <f>69327946/1000</f>
        <v>69327.945999999996</v>
      </c>
      <c r="K17" s="73"/>
      <c r="L17" s="73"/>
      <c r="M17" s="23">
        <f t="shared" si="1"/>
        <v>6.8263406254037484</v>
      </c>
      <c r="N17" s="23">
        <f t="shared" si="1"/>
        <v>7.4013851540622566</v>
      </c>
      <c r="O17" s="23"/>
      <c r="P17" s="184">
        <f t="shared" si="0"/>
        <v>7.5208609632029688</v>
      </c>
      <c r="Q17" s="184">
        <f t="shared" si="0"/>
        <v>7.2778698090888883</v>
      </c>
      <c r="R17" s="23"/>
      <c r="S17" s="23">
        <f t="shared" si="0"/>
        <v>11.990993648207304</v>
      </c>
      <c r="T17" s="23">
        <f t="shared" si="0"/>
        <v>1.2162190532789774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2:31" x14ac:dyDescent="0.3">
      <c r="B18" s="218">
        <v>2005</v>
      </c>
      <c r="C18" s="99">
        <v>6519635.8499999996</v>
      </c>
      <c r="D18" s="99">
        <f>191269100/1000</f>
        <v>191269.1</v>
      </c>
      <c r="E18" s="73"/>
      <c r="F18" s="142">
        <f>97866674/1000</f>
        <v>97866.673999999999</v>
      </c>
      <c r="G18" s="142">
        <f>93402426/1000</f>
        <v>93402.426000000007</v>
      </c>
      <c r="H18" s="98"/>
      <c r="I18" s="142">
        <f>117181109/1000</f>
        <v>117181.109</v>
      </c>
      <c r="J18" s="142">
        <f>74087991/1000</f>
        <v>74087.990999999995</v>
      </c>
      <c r="K18" s="73"/>
      <c r="L18" s="73"/>
      <c r="M18" s="23">
        <f t="shared" si="1"/>
        <v>6.4148517933378058</v>
      </c>
      <c r="N18" s="23">
        <f t="shared" si="1"/>
        <v>10.75010728370005</v>
      </c>
      <c r="O18" s="23"/>
      <c r="P18" s="184">
        <f t="shared" si="0"/>
        <v>11.357857752916845</v>
      </c>
      <c r="Q18" s="184">
        <f t="shared" si="0"/>
        <v>10.12038533588262</v>
      </c>
      <c r="R18" s="23"/>
      <c r="S18" s="23">
        <f t="shared" si="0"/>
        <v>13.354967372641768</v>
      </c>
      <c r="T18" s="23">
        <f t="shared" si="0"/>
        <v>6.8659830193151805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2:31" x14ac:dyDescent="0.3">
      <c r="B19" s="218">
        <v>2010</v>
      </c>
      <c r="C19" s="100">
        <v>6929725.0430000098</v>
      </c>
      <c r="D19" s="100">
        <f>221714243/1000</f>
        <v>221714.24299999999</v>
      </c>
      <c r="E19" s="73"/>
      <c r="F19" s="102">
        <f>114613714/1000</f>
        <v>114613.71400000001</v>
      </c>
      <c r="G19" s="102">
        <f>107100529/1000</f>
        <v>107100.52899999999</v>
      </c>
      <c r="H19" s="98"/>
      <c r="I19" s="142">
        <f>132560325/1000</f>
        <v>132560.32500000001</v>
      </c>
      <c r="J19" s="142">
        <f>89153918/1000</f>
        <v>89153.918000000005</v>
      </c>
      <c r="K19" s="73"/>
      <c r="L19" s="73"/>
      <c r="M19" s="23">
        <f t="shared" si="1"/>
        <v>6.2900628568083317</v>
      </c>
      <c r="N19" s="23">
        <f>((D19/D18)-1)*100</f>
        <v>15.917439356383213</v>
      </c>
      <c r="O19" s="23"/>
      <c r="P19" s="184">
        <f t="shared" si="0"/>
        <v>17.112096810401468</v>
      </c>
      <c r="Q19" s="184">
        <f t="shared" si="0"/>
        <v>14.665682238275046</v>
      </c>
      <c r="R19" s="23"/>
      <c r="S19" s="23">
        <f t="shared" si="0"/>
        <v>13.124313407888998</v>
      </c>
      <c r="T19" s="23">
        <f t="shared" si="0"/>
        <v>20.335180906714022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2:31" x14ac:dyDescent="0.3">
      <c r="B20" s="218">
        <v>2015</v>
      </c>
      <c r="C20" s="99">
        <v>7349472.0990000004</v>
      </c>
      <c r="D20" s="99">
        <f>243700236/1000</f>
        <v>243700.236</v>
      </c>
      <c r="E20" s="73"/>
      <c r="F20" s="142">
        <f>126115435/1000</f>
        <v>126115.435</v>
      </c>
      <c r="G20" s="142">
        <f>117584801/1000</f>
        <v>117584.80100000001</v>
      </c>
      <c r="H20" s="98"/>
      <c r="I20" s="142">
        <f>140481955/1000</f>
        <v>140481.95499999999</v>
      </c>
      <c r="J20" s="142">
        <f>103218281/1000</f>
        <v>103218.281</v>
      </c>
      <c r="K20" s="73"/>
      <c r="L20" s="73"/>
      <c r="M20" s="23">
        <f t="shared" si="1"/>
        <v>6.0571964023881986</v>
      </c>
      <c r="N20" s="23">
        <f t="shared" si="1"/>
        <v>9.9163647325986268</v>
      </c>
      <c r="O20" s="23"/>
      <c r="P20" s="184">
        <f t="shared" si="0"/>
        <v>10.035204862133673</v>
      </c>
      <c r="Q20" s="184">
        <f t="shared" si="0"/>
        <v>9.7891878760001383</v>
      </c>
      <c r="R20" s="23"/>
      <c r="S20" s="23">
        <f t="shared" si="0"/>
        <v>5.9758679680364191</v>
      </c>
      <c r="T20" s="23">
        <f t="shared" si="0"/>
        <v>15.775372878172323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2:31" ht="5.25" customHeight="1" thickBot="1" x14ac:dyDescent="0.3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2:31" ht="3.75" customHeight="1" x14ac:dyDescent="0.3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50"/>
      <c r="R22" s="2"/>
      <c r="S22" s="2"/>
      <c r="T22" s="2"/>
      <c r="U22" s="2"/>
      <c r="V22" s="2"/>
      <c r="W22" s="2"/>
    </row>
    <row r="23" spans="2:31" x14ac:dyDescent="0.3">
      <c r="B23" s="236" t="s">
        <v>103</v>
      </c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</row>
    <row r="24" spans="2:31" x14ac:dyDescent="0.3">
      <c r="B24" s="237" t="s">
        <v>51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</row>
    <row r="25" spans="2:31" x14ac:dyDescent="0.3">
      <c r="B25" s="230" t="s">
        <v>123</v>
      </c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</row>
    <row r="26" spans="2:31" x14ac:dyDescent="0.3">
      <c r="B26" s="230" t="s">
        <v>82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</row>
    <row r="27" spans="2:31" x14ac:dyDescent="0.3">
      <c r="B27" s="230" t="s">
        <v>82</v>
      </c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</row>
    <row r="28" spans="2:31" x14ac:dyDescent="0.3"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185"/>
      <c r="R28" s="2"/>
    </row>
    <row r="29" spans="2:31" ht="30" customHeight="1" x14ac:dyDescent="0.3">
      <c r="B29" s="229"/>
      <c r="C29" s="229"/>
      <c r="D29" s="229"/>
      <c r="E29" s="229"/>
      <c r="F29" s="229"/>
      <c r="G29" s="229"/>
      <c r="H29" s="229"/>
      <c r="I29" s="229"/>
      <c r="J29" s="229"/>
      <c r="K29" s="185"/>
      <c r="L29" s="185"/>
      <c r="M29" s="185"/>
      <c r="N29" s="185"/>
      <c r="O29" s="185"/>
      <c r="P29" s="185"/>
      <c r="Q29" s="186"/>
      <c r="R29" s="187"/>
    </row>
    <row r="30" spans="2:31" x14ac:dyDescent="0.3">
      <c r="Q30" s="2"/>
      <c r="R30" s="186"/>
    </row>
    <row r="31" spans="2:31" x14ac:dyDescent="0.3">
      <c r="B31" s="2"/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186"/>
      <c r="O31" s="2"/>
      <c r="P31" s="186"/>
      <c r="Q31" s="2"/>
      <c r="R31" s="186"/>
    </row>
    <row r="32" spans="2:31" x14ac:dyDescent="0.3">
      <c r="B32" s="2"/>
      <c r="C32" s="19"/>
      <c r="D32" s="2"/>
      <c r="E32" s="2"/>
      <c r="F32" s="2"/>
      <c r="G32" s="2"/>
      <c r="H32" s="2"/>
      <c r="I32" s="2"/>
      <c r="J32" s="2"/>
      <c r="K32" s="2"/>
      <c r="L32" s="2"/>
      <c r="M32" s="2"/>
      <c r="N32" s="186"/>
      <c r="O32" s="2"/>
      <c r="P32" s="186"/>
      <c r="Q32" s="2"/>
      <c r="R32" s="186"/>
    </row>
    <row r="33" spans="2:18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</sheetData>
  <mergeCells count="19">
    <mergeCell ref="E2:T4"/>
    <mergeCell ref="B5:B8"/>
    <mergeCell ref="C5:J5"/>
    <mergeCell ref="M5:T5"/>
    <mergeCell ref="C6:C8"/>
    <mergeCell ref="D6:D8"/>
    <mergeCell ref="F6:G7"/>
    <mergeCell ref="I6:J7"/>
    <mergeCell ref="M6:M8"/>
    <mergeCell ref="N6:N8"/>
    <mergeCell ref="B29:J29"/>
    <mergeCell ref="B27:P27"/>
    <mergeCell ref="B28:P28"/>
    <mergeCell ref="P6:Q7"/>
    <mergeCell ref="S6:T7"/>
    <mergeCell ref="B23:S23"/>
    <mergeCell ref="B24:T24"/>
    <mergeCell ref="B25:T25"/>
    <mergeCell ref="B26:P26"/>
  </mergeCells>
  <hyperlinks>
    <hyperlink ref="B26" r:id="rId1"/>
    <hyperlink ref="B27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workbookViewId="0"/>
  </sheetViews>
  <sheetFormatPr baseColWidth="10" defaultColWidth="11.44140625" defaultRowHeight="14.4" x14ac:dyDescent="0.3"/>
  <cols>
    <col min="1" max="1" width="3.5546875" style="70" customWidth="1"/>
    <col min="2" max="2" width="7.88671875" style="70" customWidth="1"/>
    <col min="3" max="3" width="11.44140625" style="70"/>
    <col min="4" max="4" width="14.44140625" style="70" customWidth="1"/>
    <col min="5" max="5" width="4.88671875" style="70" customWidth="1"/>
    <col min="6" max="6" width="10.6640625" style="70" customWidth="1"/>
    <col min="7" max="8" width="10" style="70" customWidth="1"/>
    <col min="9" max="9" width="5.5546875" style="70" customWidth="1"/>
    <col min="10" max="10" width="4.6640625" style="70" customWidth="1"/>
    <col min="11" max="11" width="11.44140625" style="70"/>
    <col min="12" max="12" width="6" style="70" customWidth="1"/>
    <col min="13" max="16384" width="11.44140625" style="70"/>
  </cols>
  <sheetData>
    <row r="1" spans="1:14" ht="23.25" customHeight="1" x14ac:dyDescent="0.3">
      <c r="F1" s="180"/>
      <c r="G1" s="180"/>
      <c r="H1" s="180"/>
      <c r="I1" s="180"/>
      <c r="J1" s="180"/>
      <c r="K1" s="180"/>
      <c r="L1" s="180"/>
      <c r="M1" s="180"/>
    </row>
    <row r="2" spans="1:14" ht="59.25" customHeight="1" x14ac:dyDescent="0.3">
      <c r="E2" s="52"/>
      <c r="F2" s="247" t="s">
        <v>130</v>
      </c>
      <c r="G2" s="247"/>
      <c r="H2" s="247"/>
      <c r="I2" s="247"/>
      <c r="J2" s="247"/>
      <c r="K2" s="247"/>
      <c r="L2" s="247"/>
      <c r="M2" s="247"/>
    </row>
    <row r="3" spans="1:14" ht="24" hidden="1" thickBot="1" x14ac:dyDescent="0.35">
      <c r="E3" s="52"/>
      <c r="F3" s="247"/>
      <c r="G3" s="247"/>
      <c r="H3" s="247"/>
      <c r="I3" s="247"/>
      <c r="J3" s="247"/>
      <c r="K3" s="247"/>
      <c r="L3" s="247"/>
      <c r="M3" s="247"/>
    </row>
    <row r="4" spans="1:14" ht="24" hidden="1" thickBot="1" x14ac:dyDescent="0.35">
      <c r="B4" s="53"/>
      <c r="C4" s="53"/>
      <c r="D4" s="53"/>
      <c r="E4" s="51"/>
      <c r="F4" s="239"/>
      <c r="G4" s="239"/>
      <c r="H4" s="239"/>
      <c r="I4" s="239"/>
      <c r="J4" s="239"/>
      <c r="K4" s="239"/>
      <c r="L4" s="239"/>
      <c r="M4" s="239"/>
    </row>
    <row r="5" spans="1:14" s="144" customFormat="1" ht="24" thickBot="1" x14ac:dyDescent="0.35">
      <c r="B5" s="33"/>
      <c r="C5" s="33"/>
      <c r="D5" s="33"/>
      <c r="E5" s="219"/>
      <c r="F5" s="217"/>
      <c r="G5" s="217"/>
      <c r="H5" s="217"/>
      <c r="I5" s="217"/>
      <c r="J5" s="217"/>
      <c r="K5" s="217"/>
      <c r="L5" s="217"/>
      <c r="M5" s="217"/>
    </row>
    <row r="6" spans="1:14" ht="15" customHeight="1" x14ac:dyDescent="0.3">
      <c r="A6" s="33"/>
      <c r="B6" s="248" t="s">
        <v>38</v>
      </c>
      <c r="C6" s="248"/>
      <c r="D6" s="248"/>
      <c r="E6" s="58"/>
      <c r="F6" s="234" t="s">
        <v>115</v>
      </c>
      <c r="G6" s="232"/>
      <c r="H6" s="232"/>
      <c r="I6" s="58"/>
      <c r="J6" s="59"/>
      <c r="K6" s="60" t="s">
        <v>39</v>
      </c>
      <c r="L6" s="58"/>
      <c r="M6" s="182" t="s">
        <v>40</v>
      </c>
      <c r="N6" s="33"/>
    </row>
    <row r="7" spans="1:14" x14ac:dyDescent="0.3">
      <c r="A7" s="33"/>
      <c r="B7" s="249"/>
      <c r="C7" s="249"/>
      <c r="D7" s="249"/>
      <c r="E7" s="61"/>
      <c r="F7" s="233"/>
      <c r="G7" s="233"/>
      <c r="H7" s="233"/>
      <c r="I7" s="61"/>
      <c r="J7" s="181"/>
      <c r="K7" s="168" t="s">
        <v>41</v>
      </c>
      <c r="L7" s="61"/>
      <c r="M7" s="27" t="s">
        <v>42</v>
      </c>
      <c r="N7" s="33"/>
    </row>
    <row r="8" spans="1:14" ht="15" thickBot="1" x14ac:dyDescent="0.35">
      <c r="A8" s="33"/>
      <c r="B8" s="250"/>
      <c r="C8" s="250"/>
      <c r="D8" s="250"/>
      <c r="E8" s="62"/>
      <c r="F8" s="121">
        <v>2005</v>
      </c>
      <c r="G8" s="121">
        <v>2010</v>
      </c>
      <c r="H8" s="121">
        <v>2015</v>
      </c>
      <c r="I8" s="63"/>
      <c r="J8" s="169"/>
      <c r="K8" s="169" t="s">
        <v>73</v>
      </c>
      <c r="L8" s="62"/>
      <c r="M8" s="169" t="s">
        <v>73</v>
      </c>
      <c r="N8" s="33"/>
    </row>
    <row r="9" spans="1:14" x14ac:dyDescent="0.3">
      <c r="B9" s="56"/>
      <c r="C9" s="56"/>
      <c r="D9" s="56"/>
      <c r="E9" s="55"/>
      <c r="F9" s="93"/>
      <c r="G9" s="93"/>
      <c r="H9" s="93"/>
      <c r="I9" s="93"/>
      <c r="J9" s="55"/>
      <c r="K9" s="55"/>
      <c r="L9" s="55"/>
      <c r="M9" s="57"/>
    </row>
    <row r="10" spans="1:14" x14ac:dyDescent="0.3">
      <c r="B10" s="251" t="s">
        <v>75</v>
      </c>
      <c r="C10" s="251"/>
      <c r="D10" s="251"/>
      <c r="E10" s="64"/>
      <c r="F10" s="99">
        <f>191269100/1000</f>
        <v>191269.1</v>
      </c>
      <c r="G10" s="100">
        <f>221714243/1000</f>
        <v>221714.24299999999</v>
      </c>
      <c r="H10" s="99">
        <f>243700236/1000</f>
        <v>243700.236</v>
      </c>
      <c r="I10" s="103"/>
      <c r="J10" s="99"/>
      <c r="K10" s="99">
        <f>G10-E10</f>
        <v>221714.24299999999</v>
      </c>
      <c r="L10" s="99"/>
      <c r="M10" s="122">
        <v>27.412235431651013</v>
      </c>
    </row>
    <row r="11" spans="1:14" ht="15" x14ac:dyDescent="0.3">
      <c r="B11" s="55"/>
      <c r="C11" s="246" t="s">
        <v>43</v>
      </c>
      <c r="D11" s="246"/>
      <c r="E11" s="55"/>
      <c r="F11" s="142">
        <f>117181109/1000</f>
        <v>117181.109</v>
      </c>
      <c r="G11" s="142">
        <f>132560325/1000</f>
        <v>132560.32500000001</v>
      </c>
      <c r="H11" s="142">
        <f>140481955/1000</f>
        <v>140481.95499999999</v>
      </c>
      <c r="I11" s="104"/>
      <c r="J11" s="125"/>
      <c r="K11" s="125">
        <f>G11-E11</f>
        <v>132560.32500000001</v>
      </c>
      <c r="L11" s="125"/>
      <c r="M11" s="126">
        <v>19.884473016892159</v>
      </c>
    </row>
    <row r="12" spans="1:14" x14ac:dyDescent="0.3">
      <c r="B12" s="55"/>
      <c r="C12" s="246" t="s">
        <v>50</v>
      </c>
      <c r="D12" s="246"/>
      <c r="E12" s="55"/>
      <c r="F12" s="142">
        <f>74087991/1000</f>
        <v>74087.990999999995</v>
      </c>
      <c r="G12" s="142">
        <f>89153918/1000</f>
        <v>89153.918000000005</v>
      </c>
      <c r="H12" s="142">
        <f>103218281/1000</f>
        <v>103218.281</v>
      </c>
      <c r="I12" s="104"/>
      <c r="J12" s="125"/>
      <c r="K12" s="125">
        <f>G12-E12</f>
        <v>89153.918000000005</v>
      </c>
      <c r="L12" s="125"/>
      <c r="M12" s="126">
        <v>39.31850439837141</v>
      </c>
    </row>
    <row r="13" spans="1:14" x14ac:dyDescent="0.3">
      <c r="B13" s="55"/>
      <c r="C13" s="55"/>
      <c r="D13" s="55"/>
      <c r="E13" s="55"/>
      <c r="F13" s="105"/>
      <c r="G13" s="105"/>
      <c r="H13" s="105"/>
      <c r="I13" s="104"/>
      <c r="J13" s="123"/>
      <c r="K13" s="124"/>
      <c r="L13" s="104"/>
      <c r="M13" s="106"/>
    </row>
    <row r="14" spans="1:14" x14ac:dyDescent="0.3">
      <c r="B14" s="251" t="s">
        <v>74</v>
      </c>
      <c r="C14" s="251"/>
      <c r="D14" s="251"/>
      <c r="E14" s="68"/>
      <c r="F14" s="99">
        <f t="shared" ref="F14:H14" si="0">SUM(F15:F20)</f>
        <v>191269.1</v>
      </c>
      <c r="G14" s="100">
        <f t="shared" si="0"/>
        <v>221714.24300000002</v>
      </c>
      <c r="H14" s="99">
        <f t="shared" si="0"/>
        <v>243700.236</v>
      </c>
      <c r="I14" s="107"/>
      <c r="J14" s="99"/>
      <c r="K14" s="99">
        <f>G14-E14</f>
        <v>221714.24300000002</v>
      </c>
      <c r="L14" s="99"/>
      <c r="M14" s="122">
        <v>27.412235431651013</v>
      </c>
    </row>
    <row r="15" spans="1:14" x14ac:dyDescent="0.3">
      <c r="B15" s="55"/>
      <c r="C15" s="246" t="s">
        <v>44</v>
      </c>
      <c r="D15" s="246"/>
      <c r="E15" s="55"/>
      <c r="F15" s="142">
        <f>15191146/1000</f>
        <v>15191.146000000001</v>
      </c>
      <c r="G15" s="142">
        <f>16840014/1000</f>
        <v>16840.013999999999</v>
      </c>
      <c r="H15" s="142">
        <f>20649557/1000</f>
        <v>20649.557000000001</v>
      </c>
      <c r="I15" s="97"/>
      <c r="J15" s="125"/>
      <c r="K15" s="125">
        <f>G15-E15</f>
        <v>16840.013999999999</v>
      </c>
      <c r="L15" s="125"/>
      <c r="M15" s="126">
        <v>35.931528799736377</v>
      </c>
    </row>
    <row r="16" spans="1:14" x14ac:dyDescent="0.3">
      <c r="B16" s="55"/>
      <c r="C16" s="246" t="s">
        <v>45</v>
      </c>
      <c r="D16" s="246"/>
      <c r="E16" s="55"/>
      <c r="F16" s="142">
        <f>53371224/1000</f>
        <v>53371.224000000002</v>
      </c>
      <c r="G16" s="142">
        <f>65914319/1000</f>
        <v>65914.319000000003</v>
      </c>
      <c r="H16" s="142">
        <f>75081125/1000</f>
        <v>75081.125</v>
      </c>
      <c r="I16" s="97"/>
      <c r="J16" s="125"/>
      <c r="K16" s="125">
        <f>G16-E16</f>
        <v>65914.319000000003</v>
      </c>
      <c r="L16" s="125"/>
      <c r="M16" s="126">
        <v>40.677165282924733</v>
      </c>
    </row>
    <row r="17" spans="2:13" x14ac:dyDescent="0.3">
      <c r="B17" s="55"/>
      <c r="C17" s="246" t="s">
        <v>46</v>
      </c>
      <c r="D17" s="246"/>
      <c r="E17" s="55"/>
      <c r="F17" s="142">
        <f>64086824/1000</f>
        <v>64086.824000000001</v>
      </c>
      <c r="G17" s="142">
        <f>72374755/1000</f>
        <v>72374.755000000005</v>
      </c>
      <c r="H17" s="142">
        <f>76145954/1000</f>
        <v>76145.953999999998</v>
      </c>
      <c r="I17" s="97"/>
      <c r="J17" s="125"/>
      <c r="K17" s="125">
        <f t="shared" ref="K17:K20" si="1">G17-E17</f>
        <v>72374.755000000005</v>
      </c>
      <c r="L17" s="125"/>
      <c r="M17" s="126">
        <v>18.81686319796405</v>
      </c>
    </row>
    <row r="18" spans="2:13" x14ac:dyDescent="0.3">
      <c r="B18" s="55"/>
      <c r="C18" s="246" t="s">
        <v>47</v>
      </c>
      <c r="D18" s="246"/>
      <c r="E18" s="55"/>
      <c r="F18" s="142">
        <f>7233098/1000</f>
        <v>7233.098</v>
      </c>
      <c r="G18" s="142">
        <f>8238795/1000</f>
        <v>8238.7950000000001</v>
      </c>
      <c r="H18" s="142">
        <f>9233989/1000</f>
        <v>9233.9889999999996</v>
      </c>
      <c r="I18" s="97"/>
      <c r="J18" s="125"/>
      <c r="K18" s="125">
        <f t="shared" si="1"/>
        <v>8238.7950000000001</v>
      </c>
      <c r="L18" s="125"/>
      <c r="M18" s="126">
        <v>27.662987560793439</v>
      </c>
    </row>
    <row r="19" spans="2:13" x14ac:dyDescent="0.3">
      <c r="B19" s="55"/>
      <c r="C19" s="246" t="s">
        <v>48</v>
      </c>
      <c r="D19" s="246"/>
      <c r="E19" s="55"/>
      <c r="F19" s="142">
        <f>45363387/1000</f>
        <v>45363.387000000002</v>
      </c>
      <c r="G19" s="142">
        <f>51220996/1000</f>
        <v>51220.995999999999</v>
      </c>
      <c r="H19" s="142">
        <f>54488725/1000</f>
        <v>54488.724999999999</v>
      </c>
      <c r="I19" s="97"/>
      <c r="J19" s="125"/>
      <c r="K19" s="125">
        <f t="shared" si="1"/>
        <v>51220.995999999999</v>
      </c>
      <c r="L19" s="125"/>
      <c r="M19" s="126">
        <v>20.116086129106712</v>
      </c>
    </row>
    <row r="20" spans="2:13" x14ac:dyDescent="0.3">
      <c r="B20" s="55"/>
      <c r="C20" s="246" t="s">
        <v>49</v>
      </c>
      <c r="D20" s="246"/>
      <c r="E20" s="55"/>
      <c r="F20" s="142">
        <f>6023421/1000</f>
        <v>6023.4210000000003</v>
      </c>
      <c r="G20" s="142">
        <f>7125364/1000</f>
        <v>7125.3639999999996</v>
      </c>
      <c r="H20" s="142">
        <f>8100886/1000</f>
        <v>8100.8860000000004</v>
      </c>
      <c r="I20" s="97"/>
      <c r="J20" s="125"/>
      <c r="K20" s="125">
        <f t="shared" si="1"/>
        <v>7125.3639999999996</v>
      </c>
      <c r="L20" s="125"/>
      <c r="M20" s="126">
        <v>34.489785787843829</v>
      </c>
    </row>
    <row r="21" spans="2:13" s="137" customFormat="1" ht="4.5" customHeight="1" x14ac:dyDescent="0.3">
      <c r="B21" s="55"/>
      <c r="C21" s="127"/>
      <c r="D21" s="127"/>
      <c r="E21" s="55"/>
      <c r="F21" s="142"/>
      <c r="G21" s="142"/>
      <c r="H21" s="142"/>
      <c r="I21" s="97"/>
      <c r="J21" s="125"/>
      <c r="K21" s="125"/>
      <c r="L21" s="125"/>
      <c r="M21" s="126"/>
    </row>
    <row r="22" spans="2:13" s="137" customFormat="1" x14ac:dyDescent="0.3">
      <c r="B22" s="251" t="s">
        <v>76</v>
      </c>
      <c r="C22" s="251"/>
      <c r="D22" s="251"/>
      <c r="E22" s="68"/>
      <c r="F22" s="99">
        <v>191269.1</v>
      </c>
      <c r="G22" s="100">
        <v>221714.24299999999</v>
      </c>
      <c r="H22" s="99">
        <v>243700.236</v>
      </c>
      <c r="I22" s="107"/>
      <c r="J22" s="99"/>
      <c r="K22" s="99">
        <f>G22-E22</f>
        <v>221714.24299999999</v>
      </c>
      <c r="L22" s="99"/>
      <c r="M22" s="122">
        <v>27.412235431651013</v>
      </c>
    </row>
    <row r="23" spans="2:13" s="137" customFormat="1" x14ac:dyDescent="0.3">
      <c r="B23" s="55"/>
      <c r="C23" s="246" t="s">
        <v>44</v>
      </c>
      <c r="D23" s="246"/>
      <c r="E23" s="55"/>
      <c r="F23" s="142">
        <v>24268.617999999999</v>
      </c>
      <c r="G23" s="142">
        <v>27992.754000000001</v>
      </c>
      <c r="H23" s="142">
        <v>32600.127</v>
      </c>
      <c r="I23" s="97"/>
      <c r="J23" s="125"/>
      <c r="K23" s="125">
        <f>G23-E23</f>
        <v>27992.754000000001</v>
      </c>
      <c r="L23" s="125"/>
      <c r="M23" s="126">
        <v>34.330380905909031</v>
      </c>
    </row>
    <row r="24" spans="2:13" s="137" customFormat="1" x14ac:dyDescent="0.3">
      <c r="B24" s="55"/>
      <c r="C24" s="246" t="s">
        <v>45</v>
      </c>
      <c r="D24" s="246"/>
      <c r="E24" s="55"/>
      <c r="F24" s="142">
        <v>72293.297000000006</v>
      </c>
      <c r="G24" s="142">
        <v>88008.361999999994</v>
      </c>
      <c r="H24" s="142">
        <v>99760.326000000001</v>
      </c>
      <c r="I24" s="97"/>
      <c r="J24" s="125"/>
      <c r="K24" s="125">
        <f>G24-E24</f>
        <v>88008.361999999994</v>
      </c>
      <c r="L24" s="125"/>
      <c r="M24" s="126">
        <v>37.993880677485215</v>
      </c>
    </row>
    <row r="25" spans="2:13" s="137" customFormat="1" x14ac:dyDescent="0.3">
      <c r="B25" s="55"/>
      <c r="C25" s="246" t="s">
        <v>46</v>
      </c>
      <c r="D25" s="246"/>
      <c r="E25" s="55"/>
      <c r="F25" s="142">
        <v>52140.661999999997</v>
      </c>
      <c r="G25" s="142">
        <v>56466.487000000001</v>
      </c>
      <c r="H25" s="142">
        <v>59609.368999999999</v>
      </c>
      <c r="I25" s="97"/>
      <c r="J25" s="125"/>
      <c r="K25" s="125">
        <f t="shared" ref="K25:K30" si="2">G25-E25</f>
        <v>56466.487000000001</v>
      </c>
      <c r="L25" s="125"/>
      <c r="M25" s="126">
        <v>14.324150698355155</v>
      </c>
    </row>
    <row r="26" spans="2:13" s="137" customFormat="1" x14ac:dyDescent="0.3">
      <c r="B26" s="55"/>
      <c r="C26" s="246" t="s">
        <v>47</v>
      </c>
      <c r="D26" s="246"/>
      <c r="E26" s="55"/>
      <c r="F26" s="142">
        <v>28823.685000000001</v>
      </c>
      <c r="G26" s="142">
        <v>33630.163</v>
      </c>
      <c r="H26" s="142">
        <v>35790.161999999997</v>
      </c>
      <c r="I26" s="97"/>
      <c r="J26" s="125"/>
      <c r="K26" s="125">
        <f t="shared" si="2"/>
        <v>33630.163</v>
      </c>
      <c r="L26" s="125"/>
      <c r="M26" s="126">
        <v>24.169279535215548</v>
      </c>
    </row>
    <row r="27" spans="2:13" s="137" customFormat="1" x14ac:dyDescent="0.3">
      <c r="B27" s="55"/>
      <c r="C27" s="246" t="s">
        <v>48</v>
      </c>
      <c r="D27" s="246"/>
      <c r="E27" s="55"/>
      <c r="F27" s="142">
        <v>3501.0720000000001</v>
      </c>
      <c r="G27" s="142">
        <v>3983.6170000000002</v>
      </c>
      <c r="H27" s="142">
        <v>4344.866</v>
      </c>
      <c r="I27" s="97"/>
      <c r="J27" s="125"/>
      <c r="K27" s="125">
        <f t="shared" si="2"/>
        <v>3983.6170000000002</v>
      </c>
      <c r="L27" s="125"/>
      <c r="M27" s="126">
        <v>24.10101820242485</v>
      </c>
    </row>
    <row r="28" spans="2:13" s="137" customFormat="1" x14ac:dyDescent="0.3">
      <c r="B28" s="55"/>
      <c r="C28" s="246" t="s">
        <v>49</v>
      </c>
      <c r="D28" s="246"/>
      <c r="E28" s="55"/>
      <c r="F28" s="142">
        <v>1388.692</v>
      </c>
      <c r="G28" s="142">
        <v>1591.009</v>
      </c>
      <c r="H28" s="142">
        <v>1811.8420000000001</v>
      </c>
      <c r="I28" s="97"/>
      <c r="J28" s="125"/>
      <c r="K28" s="125">
        <f t="shared" si="2"/>
        <v>1591.009</v>
      </c>
      <c r="L28" s="125"/>
      <c r="M28" s="126">
        <v>30.471119585912511</v>
      </c>
    </row>
    <row r="29" spans="2:13" s="138" customFormat="1" x14ac:dyDescent="0.3">
      <c r="B29" s="140"/>
      <c r="C29" s="139" t="s">
        <v>77</v>
      </c>
      <c r="D29" s="139"/>
      <c r="E29" s="140"/>
      <c r="F29" s="142">
        <v>1951.9690000000001</v>
      </c>
      <c r="G29" s="142">
        <v>2077.453</v>
      </c>
      <c r="H29" s="142">
        <v>2139.5390000000002</v>
      </c>
      <c r="I29" s="97"/>
      <c r="J29" s="125"/>
      <c r="K29" s="125">
        <f t="shared" si="2"/>
        <v>2077.453</v>
      </c>
      <c r="L29" s="125"/>
      <c r="M29" s="126">
        <v>9.6092714587168171</v>
      </c>
    </row>
    <row r="30" spans="2:13" s="138" customFormat="1" x14ac:dyDescent="0.3">
      <c r="B30" s="140"/>
      <c r="C30" s="139" t="s">
        <v>78</v>
      </c>
      <c r="D30" s="139"/>
      <c r="E30" s="140"/>
      <c r="F30" s="142">
        <v>6901.1049999999996</v>
      </c>
      <c r="G30" s="142">
        <v>7964.3980000000001</v>
      </c>
      <c r="H30" s="142">
        <v>7644.0050000000001</v>
      </c>
      <c r="I30" s="97"/>
      <c r="J30" s="125"/>
      <c r="K30" s="125">
        <f t="shared" si="2"/>
        <v>7964.3980000000001</v>
      </c>
      <c r="L30" s="125"/>
      <c r="M30" s="126">
        <v>10.764942715695547</v>
      </c>
    </row>
    <row r="31" spans="2:13" ht="6" customHeight="1" thickBot="1" x14ac:dyDescent="0.3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2:13" ht="5.25" customHeight="1" x14ac:dyDescent="0.3">
      <c r="F32" s="137"/>
      <c r="G32" s="137"/>
      <c r="H32" s="137"/>
    </row>
    <row r="33" spans="2:19" x14ac:dyDescent="0.3">
      <c r="B33" s="236" t="s">
        <v>103</v>
      </c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</row>
    <row r="34" spans="2:19" x14ac:dyDescent="0.3">
      <c r="B34" s="237" t="s">
        <v>51</v>
      </c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</row>
    <row r="35" spans="2:19" ht="60.75" customHeight="1" x14ac:dyDescent="0.3">
      <c r="B35" s="254" t="s">
        <v>127</v>
      </c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</row>
    <row r="36" spans="2:19" ht="36" customHeight="1" x14ac:dyDescent="0.3">
      <c r="B36" s="253" t="s">
        <v>128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28"/>
      <c r="O36" s="228"/>
      <c r="P36" s="228"/>
      <c r="Q36" s="228"/>
      <c r="R36" s="228"/>
      <c r="S36" s="228"/>
    </row>
    <row r="37" spans="2:19" x14ac:dyDescent="0.3">
      <c r="B37" s="252" t="s">
        <v>82</v>
      </c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</row>
    <row r="39" spans="2:19" x14ac:dyDescent="0.3">
      <c r="B39" s="101"/>
    </row>
    <row r="40" spans="2:19" ht="15" customHeight="1" x14ac:dyDescent="0.3"/>
  </sheetData>
  <mergeCells count="25">
    <mergeCell ref="B34:S34"/>
    <mergeCell ref="B37:S37"/>
    <mergeCell ref="B35:M35"/>
    <mergeCell ref="B36:M36"/>
    <mergeCell ref="B14:D14"/>
    <mergeCell ref="C15:D15"/>
    <mergeCell ref="C16:D16"/>
    <mergeCell ref="C17:D17"/>
    <mergeCell ref="B33:S33"/>
    <mergeCell ref="C26:D26"/>
    <mergeCell ref="C27:D27"/>
    <mergeCell ref="C11:D11"/>
    <mergeCell ref="F2:M4"/>
    <mergeCell ref="C28:D28"/>
    <mergeCell ref="B6:D8"/>
    <mergeCell ref="B10:D10"/>
    <mergeCell ref="F6:H7"/>
    <mergeCell ref="C24:D24"/>
    <mergeCell ref="C25:D25"/>
    <mergeCell ref="C18:D18"/>
    <mergeCell ref="C19:D19"/>
    <mergeCell ref="C20:D20"/>
    <mergeCell ref="B22:D22"/>
    <mergeCell ref="C23:D23"/>
    <mergeCell ref="C12:D12"/>
  </mergeCells>
  <hyperlinks>
    <hyperlink ref="B37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showGridLines="0" topLeftCell="A22" zoomScale="90" zoomScaleNormal="90" workbookViewId="0"/>
  </sheetViews>
  <sheetFormatPr baseColWidth="10" defaultRowHeight="14.4" x14ac:dyDescent="0.3"/>
  <cols>
    <col min="1" max="1" width="3.44140625" customWidth="1"/>
    <col min="2" max="2" width="3.44140625" style="144" customWidth="1"/>
    <col min="3" max="3" width="30.88671875" customWidth="1"/>
    <col min="4" max="4" width="15.88671875" style="70" customWidth="1"/>
    <col min="5" max="5" width="5.109375" customWidth="1"/>
    <col min="6" max="6" width="16.88671875" style="70" customWidth="1"/>
    <col min="7" max="7" width="3.88671875" customWidth="1"/>
    <col min="8" max="8" width="20.6640625" style="70" customWidth="1"/>
    <col min="9" max="9" width="1" customWidth="1"/>
    <col min="10" max="10" width="18.6640625" customWidth="1"/>
  </cols>
  <sheetData>
    <row r="1" spans="2:11" ht="24.75" customHeight="1" x14ac:dyDescent="0.3">
      <c r="C1" s="33"/>
      <c r="D1" s="179"/>
      <c r="E1" s="179"/>
      <c r="F1" s="179"/>
      <c r="G1" s="179"/>
      <c r="H1" s="179"/>
      <c r="I1" s="179"/>
      <c r="J1" s="179"/>
      <c r="K1" s="49"/>
    </row>
    <row r="2" spans="2:11" ht="31.5" customHeight="1" x14ac:dyDescent="0.3">
      <c r="C2" s="32"/>
      <c r="D2" s="257" t="s">
        <v>118</v>
      </c>
      <c r="E2" s="257"/>
      <c r="F2" s="257"/>
      <c r="G2" s="257"/>
      <c r="H2" s="257"/>
      <c r="I2" s="257"/>
      <c r="J2" s="257"/>
      <c r="K2" s="49"/>
    </row>
    <row r="3" spans="2:11" ht="15.75" customHeight="1" x14ac:dyDescent="0.3">
      <c r="C3" s="32"/>
      <c r="D3" s="257"/>
      <c r="E3" s="257"/>
      <c r="F3" s="257"/>
      <c r="G3" s="257"/>
      <c r="H3" s="257"/>
      <c r="I3" s="257"/>
      <c r="J3" s="257"/>
      <c r="K3" s="49"/>
    </row>
    <row r="4" spans="2:11" ht="16.5" customHeight="1" thickBot="1" x14ac:dyDescent="0.35">
      <c r="B4" s="53"/>
      <c r="C4" s="40"/>
      <c r="D4" s="258"/>
      <c r="E4" s="258"/>
      <c r="F4" s="258"/>
      <c r="G4" s="258"/>
      <c r="H4" s="258"/>
      <c r="I4" s="258"/>
      <c r="J4" s="258"/>
      <c r="K4" s="33"/>
    </row>
    <row r="5" spans="2:11" ht="41.25" customHeight="1" thickBot="1" x14ac:dyDescent="0.35">
      <c r="B5" s="259" t="s">
        <v>89</v>
      </c>
      <c r="C5" s="259"/>
      <c r="D5" s="38" t="s">
        <v>116</v>
      </c>
      <c r="E5" s="171"/>
      <c r="F5" s="38" t="s">
        <v>117</v>
      </c>
      <c r="G5" s="171"/>
      <c r="H5" s="38" t="s">
        <v>72</v>
      </c>
      <c r="I5" s="39"/>
      <c r="J5" s="38" t="s">
        <v>21</v>
      </c>
    </row>
    <row r="6" spans="2:11" x14ac:dyDescent="0.3">
      <c r="C6" s="41"/>
      <c r="D6" s="42"/>
      <c r="E6" s="43"/>
      <c r="F6" s="42"/>
      <c r="G6" s="43"/>
      <c r="H6" s="45"/>
      <c r="I6" s="46"/>
      <c r="J6" s="65"/>
    </row>
    <row r="7" spans="2:11" x14ac:dyDescent="0.3">
      <c r="B7" s="37" t="s">
        <v>2</v>
      </c>
      <c r="C7" s="37"/>
      <c r="D7" s="134">
        <v>7349472.0990000004</v>
      </c>
      <c r="E7" s="90"/>
      <c r="F7" s="134">
        <f>243700236/1000</f>
        <v>243700.236</v>
      </c>
      <c r="G7" s="90"/>
      <c r="H7" s="91">
        <v>3.3158876272645332</v>
      </c>
      <c r="I7" s="28"/>
      <c r="J7" s="92">
        <v>99.999999999999986</v>
      </c>
    </row>
    <row r="8" spans="2:11" x14ac:dyDescent="0.3">
      <c r="B8" s="189" t="s">
        <v>22</v>
      </c>
      <c r="C8" s="189"/>
      <c r="D8" s="133">
        <f t="shared" ref="D8" si="0">SUM(D10:D29)</f>
        <v>2628632.9769999995</v>
      </c>
      <c r="E8" s="90"/>
      <c r="F8" s="133">
        <f t="shared" ref="F8" si="1">SUM(F10:F29)</f>
        <v>163143.03</v>
      </c>
      <c r="G8" s="90"/>
      <c r="H8" s="91">
        <v>6.2063829917477307</v>
      </c>
      <c r="I8" s="90"/>
      <c r="J8" s="91">
        <v>66.944141162013466</v>
      </c>
    </row>
    <row r="9" spans="2:11" x14ac:dyDescent="0.3">
      <c r="B9" s="188" t="s">
        <v>104</v>
      </c>
      <c r="C9" s="47"/>
      <c r="D9" s="108"/>
      <c r="E9" s="35"/>
      <c r="F9" s="110"/>
      <c r="G9" s="35"/>
      <c r="H9" s="48"/>
      <c r="I9" s="35"/>
      <c r="J9" s="172"/>
    </row>
    <row r="10" spans="2:11" x14ac:dyDescent="0.3">
      <c r="B10" s="144">
        <v>1</v>
      </c>
      <c r="C10" s="36" t="s">
        <v>23</v>
      </c>
      <c r="D10" s="129">
        <v>321773.63099999999</v>
      </c>
      <c r="E10" s="80"/>
      <c r="F10" s="129">
        <v>46627.101999999999</v>
      </c>
      <c r="G10" s="81"/>
      <c r="H10" s="82">
        <v>14.490653524060832</v>
      </c>
      <c r="I10" s="84"/>
      <c r="J10" s="82">
        <v>19.13297367508499</v>
      </c>
    </row>
    <row r="11" spans="2:11" x14ac:dyDescent="0.3">
      <c r="B11" s="144">
        <v>2</v>
      </c>
      <c r="C11" s="36" t="s">
        <v>25</v>
      </c>
      <c r="D11" s="129">
        <v>80688.544999999998</v>
      </c>
      <c r="E11" s="80"/>
      <c r="F11" s="129">
        <v>12005.69</v>
      </c>
      <c r="G11" s="81"/>
      <c r="H11" s="82">
        <v>14.87905129532327</v>
      </c>
      <c r="I11" s="86"/>
      <c r="J11" s="82">
        <v>4.9264170593581209</v>
      </c>
    </row>
    <row r="12" spans="2:11" x14ac:dyDescent="0.3">
      <c r="B12" s="144">
        <v>3</v>
      </c>
      <c r="C12" s="36" t="s">
        <v>24</v>
      </c>
      <c r="D12" s="129">
        <v>143456.91800000001</v>
      </c>
      <c r="E12" s="80"/>
      <c r="F12" s="129">
        <v>11643.276</v>
      </c>
      <c r="G12" s="81"/>
      <c r="H12" s="85">
        <v>8.1162178599152668</v>
      </c>
      <c r="I12" s="83"/>
      <c r="J12" s="82">
        <v>4.7777040314396739</v>
      </c>
    </row>
    <row r="13" spans="2:11" x14ac:dyDescent="0.3">
      <c r="B13" s="144">
        <v>4</v>
      </c>
      <c r="C13" s="36" t="s">
        <v>26</v>
      </c>
      <c r="D13" s="129">
        <v>31540.371999999999</v>
      </c>
      <c r="E13" s="81"/>
      <c r="F13" s="129">
        <v>10185.945</v>
      </c>
      <c r="G13" s="81"/>
      <c r="H13" s="82">
        <v>32.294942494654158</v>
      </c>
      <c r="I13" s="86"/>
      <c r="J13" s="82">
        <v>4.1797025588436441</v>
      </c>
    </row>
    <row r="14" spans="2:11" ht="13.5" customHeight="1" x14ac:dyDescent="0.3">
      <c r="B14" s="144">
        <v>5</v>
      </c>
      <c r="C14" s="36" t="s">
        <v>68</v>
      </c>
      <c r="D14" s="129">
        <v>64715.81</v>
      </c>
      <c r="E14" s="81"/>
      <c r="F14" s="129">
        <v>8543.1200000000008</v>
      </c>
      <c r="G14" s="81"/>
      <c r="H14" s="82">
        <v>13.200978246273982</v>
      </c>
      <c r="I14" s="86"/>
      <c r="J14" s="82">
        <v>3.5055854439139735</v>
      </c>
    </row>
    <row r="15" spans="2:11" x14ac:dyDescent="0.3">
      <c r="B15" s="144">
        <v>6</v>
      </c>
      <c r="C15" s="36" t="s">
        <v>55</v>
      </c>
      <c r="D15" s="129">
        <v>9156.9629999999997</v>
      </c>
      <c r="E15" s="81"/>
      <c r="F15" s="129">
        <v>8095.1260000000002</v>
      </c>
      <c r="G15" s="81"/>
      <c r="H15" s="82">
        <v>88.404048372806571</v>
      </c>
      <c r="I15" s="86"/>
      <c r="J15" s="82">
        <v>3.3217555029368127</v>
      </c>
    </row>
    <row r="16" spans="2:11" x14ac:dyDescent="0.3">
      <c r="B16" s="144">
        <v>7</v>
      </c>
      <c r="C16" s="36" t="s">
        <v>27</v>
      </c>
      <c r="D16" s="129">
        <v>35939.927000000003</v>
      </c>
      <c r="E16" s="81"/>
      <c r="F16" s="129">
        <v>7835.5020000000004</v>
      </c>
      <c r="G16" s="81"/>
      <c r="H16" s="82">
        <v>21.80166364834297</v>
      </c>
      <c r="I16" s="86"/>
      <c r="J16" s="82">
        <v>3.2152213426662422</v>
      </c>
    </row>
    <row r="17" spans="2:10" x14ac:dyDescent="0.3">
      <c r="B17" s="144">
        <v>8</v>
      </c>
      <c r="C17" s="36" t="s">
        <v>28</v>
      </c>
      <c r="D17" s="129">
        <v>64395.345000000001</v>
      </c>
      <c r="E17" s="80"/>
      <c r="F17" s="129">
        <v>7784.4179999999997</v>
      </c>
      <c r="G17" s="81"/>
      <c r="H17" s="82">
        <v>12.088479376886637</v>
      </c>
      <c r="I17" s="83"/>
      <c r="J17" s="82">
        <v>3.1942595246399348</v>
      </c>
    </row>
    <row r="18" spans="2:10" x14ac:dyDescent="0.3">
      <c r="B18" s="144">
        <v>9</v>
      </c>
      <c r="C18" s="36" t="s">
        <v>32</v>
      </c>
      <c r="D18" s="129">
        <v>23968.973000000002</v>
      </c>
      <c r="E18" s="81"/>
      <c r="F18" s="129">
        <v>6763.6629999999996</v>
      </c>
      <c r="G18" s="81"/>
      <c r="H18" s="82">
        <v>28.218409691562503</v>
      </c>
      <c r="I18" s="86"/>
      <c r="J18" s="82">
        <v>2.775402728785211</v>
      </c>
    </row>
    <row r="19" spans="2:10" x14ac:dyDescent="0.3">
      <c r="B19" s="144">
        <v>10</v>
      </c>
      <c r="C19" s="36" t="s">
        <v>29</v>
      </c>
      <c r="D19" s="129">
        <v>46121.699000000001</v>
      </c>
      <c r="E19" s="81"/>
      <c r="F19" s="129">
        <v>5852.9530000000004</v>
      </c>
      <c r="G19" s="81"/>
      <c r="H19" s="82">
        <v>12.690237191825911</v>
      </c>
      <c r="I19" s="86"/>
      <c r="J19" s="82">
        <v>2.4017018186227772</v>
      </c>
    </row>
    <row r="20" spans="2:10" x14ac:dyDescent="0.3">
      <c r="B20" s="144">
        <v>11</v>
      </c>
      <c r="C20" s="36" t="s">
        <v>33</v>
      </c>
      <c r="D20" s="129">
        <v>59797.684999999998</v>
      </c>
      <c r="E20" s="81"/>
      <c r="F20" s="129">
        <v>5788.875</v>
      </c>
      <c r="G20" s="81"/>
      <c r="H20" s="82">
        <v>9.6807677420957017</v>
      </c>
      <c r="I20" s="86"/>
      <c r="J20" s="82">
        <v>2.37540804022857</v>
      </c>
    </row>
    <row r="21" spans="2:10" x14ac:dyDescent="0.3">
      <c r="B21" s="144">
        <v>12</v>
      </c>
      <c r="C21" s="36" t="s">
        <v>30</v>
      </c>
      <c r="D21" s="129">
        <v>1311050.527</v>
      </c>
      <c r="E21" s="81"/>
      <c r="F21" s="129">
        <v>5240.96</v>
      </c>
      <c r="G21" s="81"/>
      <c r="H21" s="82">
        <v>0.39975270914940109</v>
      </c>
      <c r="I21" s="86"/>
      <c r="J21" s="82">
        <v>2.1505764975951851</v>
      </c>
    </row>
    <row r="22" spans="2:10" x14ac:dyDescent="0.3">
      <c r="B22" s="144">
        <v>13</v>
      </c>
      <c r="C22" s="36" t="s">
        <v>31</v>
      </c>
      <c r="D22" s="129">
        <v>44823.764999999999</v>
      </c>
      <c r="E22" s="81"/>
      <c r="F22" s="129">
        <v>4834.8980000000001</v>
      </c>
      <c r="G22" s="81"/>
      <c r="H22" s="82">
        <v>10.786461155148391</v>
      </c>
      <c r="I22" s="86"/>
      <c r="J22" s="82">
        <v>1.9839529412683867</v>
      </c>
    </row>
    <row r="23" spans="2:10" x14ac:dyDescent="0.3">
      <c r="B23" s="144">
        <v>14</v>
      </c>
      <c r="C23" s="36" t="s">
        <v>61</v>
      </c>
      <c r="D23" s="129">
        <v>67959.358999999997</v>
      </c>
      <c r="E23" s="81"/>
      <c r="F23" s="129">
        <v>3913.2579999999998</v>
      </c>
      <c r="G23" s="81"/>
      <c r="H23" s="82">
        <v>5.7582326519589451</v>
      </c>
      <c r="I23" s="86"/>
      <c r="J23" s="82">
        <v>1.6057670128805293</v>
      </c>
    </row>
    <row r="24" spans="2:10" x14ac:dyDescent="0.3">
      <c r="B24" s="144">
        <v>15</v>
      </c>
      <c r="C24" s="36" t="s">
        <v>34</v>
      </c>
      <c r="D24" s="129">
        <v>188924.87400000001</v>
      </c>
      <c r="E24" s="81"/>
      <c r="F24" s="129">
        <v>3628.9560000000001</v>
      </c>
      <c r="G24" s="81"/>
      <c r="H24" s="82">
        <v>1.9208460607468767</v>
      </c>
      <c r="I24" s="86"/>
      <c r="J24" s="82">
        <v>1.4891064775169114</v>
      </c>
    </row>
    <row r="25" spans="2:10" x14ac:dyDescent="0.3">
      <c r="B25" s="144">
        <v>16</v>
      </c>
      <c r="C25" s="36" t="s">
        <v>66</v>
      </c>
      <c r="D25" s="129">
        <v>17625.225999999999</v>
      </c>
      <c r="E25" s="81"/>
      <c r="F25" s="129">
        <v>3546.7779999999998</v>
      </c>
      <c r="G25" s="81"/>
      <c r="H25" s="82">
        <v>20.12330508556316</v>
      </c>
      <c r="I25" s="86"/>
      <c r="J25" s="82">
        <v>1.4553855417686177</v>
      </c>
    </row>
    <row r="26" spans="2:10" x14ac:dyDescent="0.3">
      <c r="B26" s="144">
        <v>17</v>
      </c>
      <c r="C26" s="36" t="s">
        <v>35</v>
      </c>
      <c r="D26" s="129">
        <v>7594.5469999999996</v>
      </c>
      <c r="E26" s="81"/>
      <c r="F26" s="129">
        <v>3112.0259999999998</v>
      </c>
      <c r="G26" s="81"/>
      <c r="H26" s="82">
        <v>40.977111603891579</v>
      </c>
      <c r="I26" s="86"/>
      <c r="J26" s="82">
        <v>1.2769893255253146</v>
      </c>
    </row>
    <row r="27" spans="2:10" x14ac:dyDescent="0.3">
      <c r="B27" s="144">
        <v>18</v>
      </c>
      <c r="C27" s="36" t="s">
        <v>88</v>
      </c>
      <c r="D27" s="129">
        <v>7287.9830000000002</v>
      </c>
      <c r="E27" s="81"/>
      <c r="F27" s="129">
        <v>2838.665</v>
      </c>
      <c r="G27" s="81"/>
      <c r="H27" s="82">
        <v>38.949939921649104</v>
      </c>
      <c r="I27" s="86"/>
      <c r="J27" s="82">
        <v>1.1648183221291586</v>
      </c>
    </row>
    <row r="28" spans="2:10" x14ac:dyDescent="0.3">
      <c r="B28" s="144">
        <v>19</v>
      </c>
      <c r="C28" s="36" t="s">
        <v>64</v>
      </c>
      <c r="D28" s="129">
        <v>79109.271999999997</v>
      </c>
      <c r="E28" s="81"/>
      <c r="F28" s="129">
        <v>2726.42</v>
      </c>
      <c r="G28" s="81"/>
      <c r="H28" s="82">
        <v>3.446397534792129</v>
      </c>
      <c r="I28" s="86"/>
      <c r="J28" s="82">
        <v>1.1187596880291901</v>
      </c>
    </row>
    <row r="29" spans="2:10" x14ac:dyDescent="0.3">
      <c r="B29" s="144">
        <v>20</v>
      </c>
      <c r="C29" s="36" t="s">
        <v>36</v>
      </c>
      <c r="D29" s="129">
        <v>22701.556</v>
      </c>
      <c r="E29" s="81"/>
      <c r="F29" s="129">
        <v>2175.3989999999999</v>
      </c>
      <c r="G29" s="81"/>
      <c r="H29" s="82">
        <v>9.582598655352081</v>
      </c>
      <c r="I29" s="86"/>
      <c r="J29" s="82">
        <v>0.89265362878023646</v>
      </c>
    </row>
    <row r="30" spans="2:10" ht="6.75" customHeight="1" x14ac:dyDescent="0.3">
      <c r="C30" s="36"/>
      <c r="D30" s="15"/>
      <c r="E30" s="81"/>
      <c r="F30" s="135"/>
      <c r="G30" s="81"/>
      <c r="H30" s="85"/>
      <c r="I30" s="86"/>
      <c r="J30" s="82"/>
    </row>
    <row r="31" spans="2:10" ht="15" thickBot="1" x14ac:dyDescent="0.35">
      <c r="B31" s="53"/>
      <c r="C31" s="34" t="s">
        <v>37</v>
      </c>
      <c r="D31" s="130">
        <f t="shared" ref="D31" si="2">D7-D8</f>
        <v>4720839.1220000014</v>
      </c>
      <c r="E31" s="87"/>
      <c r="F31" s="136">
        <f t="shared" ref="F31" si="3">F7-F8</f>
        <v>80557.206000000006</v>
      </c>
      <c r="G31" s="87"/>
      <c r="H31" s="88">
        <v>1.7064170991252003</v>
      </c>
      <c r="I31" s="89"/>
      <c r="J31" s="88">
        <v>33.05585883798652</v>
      </c>
    </row>
    <row r="32" spans="2:10" ht="5.25" customHeight="1" x14ac:dyDescent="0.3">
      <c r="C32" s="65"/>
      <c r="D32" s="66"/>
      <c r="E32" s="65"/>
      <c r="F32" s="111"/>
      <c r="G32" s="65"/>
      <c r="H32" s="66"/>
      <c r="I32" s="67"/>
      <c r="J32" s="65"/>
    </row>
    <row r="33" spans="3:12" s="33" customFormat="1" ht="16.5" customHeight="1" x14ac:dyDescent="0.3">
      <c r="C33" s="255" t="s">
        <v>69</v>
      </c>
      <c r="D33" s="255"/>
      <c r="E33" s="255"/>
      <c r="F33" s="255"/>
      <c r="G33" s="255"/>
      <c r="H33" s="255"/>
      <c r="I33" s="255"/>
      <c r="J33" s="255"/>
      <c r="K33" s="255"/>
      <c r="L33" s="145"/>
    </row>
    <row r="34" spans="3:12" ht="29.25" customHeight="1" x14ac:dyDescent="0.3">
      <c r="C34" s="229" t="s">
        <v>121</v>
      </c>
      <c r="D34" s="229"/>
      <c r="E34" s="229"/>
      <c r="F34" s="229"/>
      <c r="G34" s="229"/>
      <c r="H34" s="229"/>
      <c r="I34" s="229"/>
      <c r="J34" s="229"/>
      <c r="K34" s="229"/>
      <c r="L34" s="145"/>
    </row>
    <row r="35" spans="3:12" x14ac:dyDescent="0.3">
      <c r="C35" s="255" t="s">
        <v>82</v>
      </c>
      <c r="D35" s="255"/>
      <c r="E35" s="255"/>
      <c r="F35" s="255"/>
      <c r="G35" s="255"/>
      <c r="H35" s="255"/>
      <c r="I35" s="255"/>
      <c r="J35" s="255"/>
      <c r="K35" s="255"/>
      <c r="L35" s="145"/>
    </row>
    <row r="36" spans="3:12" ht="15" customHeight="1" x14ac:dyDescent="0.3">
      <c r="C36" s="256"/>
      <c r="D36" s="256"/>
      <c r="E36" s="256"/>
      <c r="F36" s="256"/>
      <c r="G36" s="256"/>
      <c r="H36" s="256"/>
      <c r="I36" s="256"/>
      <c r="J36" s="65"/>
    </row>
    <row r="39" spans="3:12" x14ac:dyDescent="0.3">
      <c r="F39" s="96">
        <v>1000</v>
      </c>
    </row>
  </sheetData>
  <mergeCells count="6">
    <mergeCell ref="C35:K35"/>
    <mergeCell ref="C36:I36"/>
    <mergeCell ref="C33:K33"/>
    <mergeCell ref="C34:K34"/>
    <mergeCell ref="D2:J4"/>
    <mergeCell ref="B5:C5"/>
  </mergeCells>
  <hyperlinks>
    <hyperlink ref="C35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="90" zoomScaleNormal="90" workbookViewId="0"/>
  </sheetViews>
  <sheetFormatPr baseColWidth="10" defaultColWidth="11.44140625" defaultRowHeight="14.4" x14ac:dyDescent="0.3"/>
  <cols>
    <col min="1" max="1" width="3.44140625" style="141" customWidth="1"/>
    <col min="2" max="2" width="3.44140625" style="144" customWidth="1"/>
    <col min="3" max="3" width="28.88671875" style="141" customWidth="1"/>
    <col min="4" max="4" width="19.5546875" style="141" customWidth="1"/>
    <col min="5" max="5" width="3.33203125" style="141" customWidth="1"/>
    <col min="6" max="6" width="19.6640625" style="141" customWidth="1"/>
    <col min="7" max="7" width="3.44140625" style="144" customWidth="1"/>
    <col min="8" max="8" width="19.5546875" style="141" customWidth="1"/>
    <col min="9" max="9" width="2.33203125" style="141" customWidth="1"/>
    <col min="10" max="10" width="16.44140625" style="141" customWidth="1"/>
    <col min="11" max="16384" width="11.44140625" style="141"/>
  </cols>
  <sheetData>
    <row r="1" spans="1:11" ht="14.25" customHeight="1" x14ac:dyDescent="0.3">
      <c r="A1" s="146"/>
      <c r="B1" s="146"/>
      <c r="C1" s="143"/>
      <c r="D1" s="179"/>
      <c r="E1" s="179"/>
      <c r="F1" s="179"/>
      <c r="G1" s="179"/>
      <c r="H1" s="179"/>
      <c r="I1" s="179"/>
      <c r="J1" s="179"/>
      <c r="K1" s="71"/>
    </row>
    <row r="2" spans="1:11" ht="31.5" customHeight="1" x14ac:dyDescent="0.3">
      <c r="A2" s="146"/>
      <c r="B2" s="146"/>
      <c r="C2" s="131"/>
      <c r="D2" s="257" t="s">
        <v>119</v>
      </c>
      <c r="E2" s="257"/>
      <c r="F2" s="257"/>
      <c r="G2" s="257"/>
      <c r="H2" s="257"/>
      <c r="I2" s="257"/>
      <c r="J2" s="257"/>
      <c r="K2" s="71"/>
    </row>
    <row r="3" spans="1:11" ht="15.75" customHeight="1" x14ac:dyDescent="0.3">
      <c r="A3" s="146"/>
      <c r="B3" s="146"/>
      <c r="C3" s="131"/>
      <c r="D3" s="257"/>
      <c r="E3" s="257"/>
      <c r="F3" s="257"/>
      <c r="G3" s="257"/>
      <c r="H3" s="257"/>
      <c r="I3" s="257"/>
      <c r="J3" s="257"/>
      <c r="K3" s="71"/>
    </row>
    <row r="4" spans="1:11" ht="16.5" customHeight="1" thickBot="1" x14ac:dyDescent="0.35">
      <c r="A4" s="146"/>
      <c r="B4" s="190"/>
      <c r="C4" s="132"/>
      <c r="D4" s="258"/>
      <c r="E4" s="258"/>
      <c r="F4" s="258"/>
      <c r="G4" s="258"/>
      <c r="H4" s="258"/>
      <c r="I4" s="258"/>
      <c r="J4" s="258"/>
      <c r="K4" s="33"/>
    </row>
    <row r="5" spans="1:11" s="144" customFormat="1" ht="47.25" customHeight="1" thickBot="1" x14ac:dyDescent="0.35">
      <c r="B5" s="260" t="s">
        <v>90</v>
      </c>
      <c r="C5" s="260"/>
      <c r="D5" s="38" t="s">
        <v>71</v>
      </c>
      <c r="E5" s="173"/>
      <c r="F5" s="38" t="s">
        <v>111</v>
      </c>
      <c r="G5" s="173"/>
      <c r="H5" s="38" t="s">
        <v>112</v>
      </c>
      <c r="I5" s="39"/>
      <c r="J5" s="38" t="s">
        <v>113</v>
      </c>
    </row>
    <row r="6" spans="1:11" x14ac:dyDescent="0.3">
      <c r="A6" s="146"/>
      <c r="B6" s="146"/>
      <c r="C6" s="41"/>
      <c r="D6" s="42"/>
      <c r="E6" s="148"/>
      <c r="F6" s="42"/>
      <c r="G6" s="148"/>
      <c r="H6" s="149"/>
      <c r="I6" s="46"/>
      <c r="J6" s="150"/>
    </row>
    <row r="7" spans="1:11" ht="21" customHeight="1" x14ac:dyDescent="0.3">
      <c r="A7" s="146"/>
      <c r="B7" s="261" t="s">
        <v>2</v>
      </c>
      <c r="C7" s="261"/>
      <c r="D7" s="151">
        <v>7349472.0990000004</v>
      </c>
      <c r="E7" s="152"/>
      <c r="F7" s="151">
        <f>243700236/1000</f>
        <v>243700.236</v>
      </c>
      <c r="G7" s="152"/>
      <c r="H7" s="153">
        <v>3.3158876272645332</v>
      </c>
      <c r="I7" s="154"/>
      <c r="J7" s="155">
        <v>105</v>
      </c>
    </row>
    <row r="8" spans="1:11" ht="21.75" customHeight="1" x14ac:dyDescent="0.3">
      <c r="A8" s="146"/>
      <c r="B8" s="262" t="s">
        <v>22</v>
      </c>
      <c r="C8" s="262"/>
      <c r="D8" s="156">
        <f t="shared" ref="D8" si="0">SUM(D10:D29)</f>
        <v>4479378.7879999997</v>
      </c>
      <c r="E8" s="152"/>
      <c r="F8" s="156">
        <f t="shared" ref="F8" si="1">SUM(F10:F29)</f>
        <v>119906.44900000002</v>
      </c>
      <c r="G8" s="152"/>
      <c r="H8" s="153">
        <v>2.6768544183229728</v>
      </c>
      <c r="I8" s="152"/>
      <c r="J8" s="153">
        <v>49.202434502361321</v>
      </c>
    </row>
    <row r="9" spans="1:11" x14ac:dyDescent="0.3">
      <c r="A9" s="146"/>
      <c r="B9" s="146"/>
      <c r="C9" s="157"/>
      <c r="D9" s="158"/>
      <c r="E9" s="159"/>
      <c r="F9" s="110"/>
      <c r="G9" s="159"/>
      <c r="H9" s="160"/>
      <c r="I9" s="159"/>
      <c r="J9" s="174"/>
    </row>
    <row r="10" spans="1:11" s="144" customFormat="1" x14ac:dyDescent="0.3">
      <c r="C10" s="36" t="s">
        <v>30</v>
      </c>
      <c r="D10" s="129">
        <v>1311050.527</v>
      </c>
      <c r="E10" s="80"/>
      <c r="F10" s="129">
        <v>15575.724</v>
      </c>
      <c r="G10" s="81"/>
      <c r="H10" s="82">
        <v>1.1880338460822724</v>
      </c>
      <c r="I10" s="84"/>
      <c r="J10" s="82">
        <v>6.3913454724762762</v>
      </c>
    </row>
    <row r="11" spans="1:11" s="144" customFormat="1" x14ac:dyDescent="0.3">
      <c r="C11" s="36" t="s">
        <v>53</v>
      </c>
      <c r="D11" s="129">
        <v>127017.224</v>
      </c>
      <c r="E11" s="80"/>
      <c r="F11" s="129">
        <v>12339.062</v>
      </c>
      <c r="G11" s="81"/>
      <c r="H11" s="82">
        <v>9.7144793528159603</v>
      </c>
      <c r="I11" s="84"/>
      <c r="J11" s="82">
        <v>5.0632129876148335</v>
      </c>
    </row>
    <row r="12" spans="1:11" s="144" customFormat="1" x14ac:dyDescent="0.3">
      <c r="C12" s="36" t="s">
        <v>24</v>
      </c>
      <c r="D12" s="129">
        <v>143456.91800000001</v>
      </c>
      <c r="E12" s="80"/>
      <c r="F12" s="129">
        <v>10576.766</v>
      </c>
      <c r="G12" s="81"/>
      <c r="H12" s="82">
        <v>7.3727821198556631</v>
      </c>
      <c r="I12" s="84"/>
      <c r="J12" s="82">
        <v>4.3400721204061536</v>
      </c>
    </row>
    <row r="13" spans="1:11" s="144" customFormat="1" x14ac:dyDescent="0.3">
      <c r="C13" s="36" t="s">
        <v>65</v>
      </c>
      <c r="D13" s="129">
        <v>1376048.943</v>
      </c>
      <c r="E13" s="80"/>
      <c r="F13" s="129">
        <v>9546.0650000000005</v>
      </c>
      <c r="G13" s="81"/>
      <c r="H13" s="82">
        <v>0.69373004852488018</v>
      </c>
      <c r="I13" s="84"/>
      <c r="J13" s="82">
        <v>3.9171340810683497</v>
      </c>
    </row>
    <row r="14" spans="1:11" s="144" customFormat="1" x14ac:dyDescent="0.3">
      <c r="C14" s="36" t="s">
        <v>54</v>
      </c>
      <c r="D14" s="129">
        <v>160995.64199999999</v>
      </c>
      <c r="E14" s="80"/>
      <c r="F14" s="129">
        <v>7205.41</v>
      </c>
      <c r="G14" s="81"/>
      <c r="H14" s="82">
        <v>4.4755310830090673</v>
      </c>
      <c r="I14" s="84"/>
      <c r="J14" s="82">
        <v>2.956669274624748</v>
      </c>
    </row>
    <row r="15" spans="1:11" s="144" customFormat="1" x14ac:dyDescent="0.3">
      <c r="C15" s="36" t="s">
        <v>34</v>
      </c>
      <c r="D15" s="129">
        <v>188924.87400000001</v>
      </c>
      <c r="E15" s="80"/>
      <c r="F15" s="129">
        <v>5935.1930000000002</v>
      </c>
      <c r="G15" s="81"/>
      <c r="H15" s="82">
        <v>3.1415625027755736</v>
      </c>
      <c r="I15" s="84"/>
      <c r="J15" s="82">
        <v>2.43544819546256</v>
      </c>
    </row>
    <row r="16" spans="1:11" s="144" customFormat="1" x14ac:dyDescent="0.3">
      <c r="C16" s="36" t="s">
        <v>31</v>
      </c>
      <c r="D16" s="129">
        <v>44823.764999999999</v>
      </c>
      <c r="E16" s="80"/>
      <c r="F16" s="129">
        <v>5825.7449999999999</v>
      </c>
      <c r="G16" s="81"/>
      <c r="H16" s="82">
        <v>12.997000586630774</v>
      </c>
      <c r="I16" s="84"/>
      <c r="J16" s="82">
        <v>2.3905372828608993</v>
      </c>
    </row>
    <row r="17" spans="1:10" s="144" customFormat="1" x14ac:dyDescent="0.3">
      <c r="C17" s="36" t="s">
        <v>56</v>
      </c>
      <c r="D17" s="129">
        <v>100699.395</v>
      </c>
      <c r="E17" s="80"/>
      <c r="F17" s="129">
        <v>5316.32</v>
      </c>
      <c r="G17" s="81"/>
      <c r="H17" s="82">
        <v>5.279396167176575</v>
      </c>
      <c r="I17" s="84"/>
      <c r="J17" s="82">
        <v>2.1814997339600439</v>
      </c>
    </row>
    <row r="18" spans="1:10" s="144" customFormat="1" x14ac:dyDescent="0.3">
      <c r="C18" s="36" t="s">
        <v>67</v>
      </c>
      <c r="D18" s="129">
        <v>18502.413</v>
      </c>
      <c r="E18" s="80"/>
      <c r="F18" s="129">
        <v>5011.509</v>
      </c>
      <c r="G18" s="81"/>
      <c r="H18" s="82">
        <v>27.085704983452697</v>
      </c>
      <c r="I18" s="84"/>
      <c r="J18" s="82">
        <v>2.0564235317359314</v>
      </c>
    </row>
    <row r="19" spans="1:10" s="144" customFormat="1" x14ac:dyDescent="0.3">
      <c r="C19" s="36" t="s">
        <v>68</v>
      </c>
      <c r="D19" s="129">
        <v>64715.81</v>
      </c>
      <c r="E19" s="80"/>
      <c r="F19" s="129">
        <v>4917.46</v>
      </c>
      <c r="G19" s="81"/>
      <c r="H19" s="82">
        <v>7.5985450850418159</v>
      </c>
      <c r="I19" s="84"/>
      <c r="J19" s="82">
        <v>2.0178314476478389</v>
      </c>
    </row>
    <row r="20" spans="1:10" s="144" customFormat="1" x14ac:dyDescent="0.3">
      <c r="C20" s="36" t="s">
        <v>52</v>
      </c>
      <c r="D20" s="129">
        <v>32526.562000000002</v>
      </c>
      <c r="E20" s="80"/>
      <c r="F20" s="129">
        <v>4843.1170000000002</v>
      </c>
      <c r="G20" s="81"/>
      <c r="H20" s="82">
        <v>14.889729200399355</v>
      </c>
      <c r="I20" s="84"/>
      <c r="J20" s="82">
        <v>1.9873255272514385</v>
      </c>
    </row>
    <row r="21" spans="1:10" s="144" customFormat="1" x14ac:dyDescent="0.3">
      <c r="C21" s="36" t="s">
        <v>58</v>
      </c>
      <c r="D21" s="129">
        <v>38611.794000000002</v>
      </c>
      <c r="E21" s="80"/>
      <c r="F21" s="129">
        <v>4449.7889999999998</v>
      </c>
      <c r="G21" s="81"/>
      <c r="H21" s="82">
        <v>11.524429556419987</v>
      </c>
      <c r="I21" s="84"/>
      <c r="J21" s="82">
        <v>1.8259272428443603</v>
      </c>
    </row>
    <row r="22" spans="1:10" s="144" customFormat="1" x14ac:dyDescent="0.3">
      <c r="C22" s="36" t="s">
        <v>66</v>
      </c>
      <c r="D22" s="129">
        <v>17625.225999999999</v>
      </c>
      <c r="E22" s="80"/>
      <c r="F22" s="129">
        <v>4075.7379999999998</v>
      </c>
      <c r="G22" s="81"/>
      <c r="H22" s="82">
        <v>23.124458092055104</v>
      </c>
      <c r="I22" s="84"/>
      <c r="J22" s="82">
        <v>1.6724390861894773</v>
      </c>
    </row>
    <row r="23" spans="1:10" s="144" customFormat="1" x14ac:dyDescent="0.3">
      <c r="C23" s="36" t="s">
        <v>25</v>
      </c>
      <c r="D23" s="129">
        <v>80688.544999999998</v>
      </c>
      <c r="E23" s="80"/>
      <c r="F23" s="129">
        <v>4045.4110000000001</v>
      </c>
      <c r="G23" s="81"/>
      <c r="H23" s="82">
        <v>5.0136125270321834</v>
      </c>
      <c r="I23" s="84"/>
      <c r="J23" s="82">
        <v>1.6599946993896224</v>
      </c>
    </row>
    <row r="24" spans="1:10" s="144" customFormat="1" x14ac:dyDescent="0.3">
      <c r="C24" s="36" t="s">
        <v>63</v>
      </c>
      <c r="D24" s="129">
        <v>257563.815</v>
      </c>
      <c r="E24" s="80"/>
      <c r="F24" s="129">
        <v>3876.739</v>
      </c>
      <c r="G24" s="81"/>
      <c r="H24" s="82">
        <v>1.5051566929151132</v>
      </c>
      <c r="I24" s="84"/>
      <c r="J24" s="82">
        <v>1.5907817996532427</v>
      </c>
    </row>
    <row r="25" spans="1:10" s="144" customFormat="1" x14ac:dyDescent="0.3">
      <c r="C25" s="36" t="s">
        <v>60</v>
      </c>
      <c r="D25" s="129">
        <v>4668.4660000000003</v>
      </c>
      <c r="E25" s="80"/>
      <c r="F25" s="129">
        <v>3551.1849999999999</v>
      </c>
      <c r="G25" s="81"/>
      <c r="H25" s="82">
        <v>76.067491977022001</v>
      </c>
      <c r="I25" s="84"/>
      <c r="J25" s="82">
        <v>1.457193910965273</v>
      </c>
    </row>
    <row r="26" spans="1:10" s="144" customFormat="1" x14ac:dyDescent="0.3">
      <c r="C26" s="36" t="s">
        <v>62</v>
      </c>
      <c r="D26" s="129">
        <v>19511.324000000001</v>
      </c>
      <c r="E26" s="80"/>
      <c r="F26" s="129">
        <v>3408.1179999999999</v>
      </c>
      <c r="G26" s="81"/>
      <c r="H26" s="82">
        <v>17.467384581384636</v>
      </c>
      <c r="I26" s="84"/>
      <c r="J26" s="82">
        <v>1.3984877716737212</v>
      </c>
    </row>
    <row r="27" spans="1:10" s="144" customFormat="1" x14ac:dyDescent="0.3">
      <c r="C27" s="36" t="s">
        <v>59</v>
      </c>
      <c r="D27" s="129">
        <v>91508.084000000003</v>
      </c>
      <c r="E27" s="80"/>
      <c r="F27" s="129">
        <v>3268.97</v>
      </c>
      <c r="G27" s="81"/>
      <c r="H27" s="82">
        <v>3.5723291944348867</v>
      </c>
      <c r="I27" s="84"/>
      <c r="J27" s="82">
        <v>1.3413897555683942</v>
      </c>
    </row>
    <row r="28" spans="1:10" s="144" customFormat="1" x14ac:dyDescent="0.3">
      <c r="C28" s="36" t="s">
        <v>57</v>
      </c>
      <c r="D28" s="129">
        <v>78665.83</v>
      </c>
      <c r="E28" s="80"/>
      <c r="F28" s="129">
        <v>3114.471</v>
      </c>
      <c r="G28" s="81"/>
      <c r="H28" s="82">
        <v>3.959115412625787</v>
      </c>
      <c r="I28" s="84"/>
      <c r="J28" s="82">
        <v>1.2779926072783943</v>
      </c>
    </row>
    <row r="29" spans="1:10" s="144" customFormat="1" x14ac:dyDescent="0.3">
      <c r="C29" s="36" t="s">
        <v>23</v>
      </c>
      <c r="D29" s="129">
        <v>321773.63099999999</v>
      </c>
      <c r="E29" s="80"/>
      <c r="F29" s="129">
        <v>3023.6570000000002</v>
      </c>
      <c r="G29" s="81"/>
      <c r="H29" s="82">
        <v>0.93968452001587432</v>
      </c>
      <c r="I29" s="84"/>
      <c r="J29" s="82">
        <v>1.2407279736897752</v>
      </c>
    </row>
    <row r="30" spans="1:10" s="144" customFormat="1" ht="7.5" customHeight="1" x14ac:dyDescent="0.3">
      <c r="C30" s="36"/>
      <c r="D30" s="129"/>
      <c r="E30" s="80"/>
      <c r="F30" s="129"/>
      <c r="G30" s="81"/>
      <c r="H30" s="82"/>
      <c r="I30" s="84"/>
      <c r="J30" s="82"/>
    </row>
    <row r="31" spans="1:10" ht="12.75" customHeight="1" thickBot="1" x14ac:dyDescent="0.35">
      <c r="A31" s="146"/>
      <c r="B31" s="146"/>
      <c r="C31" s="161" t="s">
        <v>37</v>
      </c>
      <c r="D31" s="162">
        <f t="shared" ref="D31" si="2">D7-D8</f>
        <v>2870093.3110000007</v>
      </c>
      <c r="E31" s="163"/>
      <c r="F31" s="164">
        <f t="shared" ref="F31" si="3">F7-F8</f>
        <v>123793.78699999998</v>
      </c>
      <c r="G31" s="163"/>
      <c r="H31" s="166">
        <v>4.313232135190324</v>
      </c>
      <c r="I31" s="165"/>
      <c r="J31" s="166">
        <v>50.797565497638651</v>
      </c>
    </row>
    <row r="32" spans="1:10" ht="3" customHeight="1" x14ac:dyDescent="0.3">
      <c r="C32" s="65"/>
      <c r="D32" s="66"/>
      <c r="E32" s="65"/>
      <c r="F32" s="111"/>
      <c r="G32" s="65"/>
      <c r="H32" s="66"/>
      <c r="I32" s="67"/>
      <c r="J32" s="65"/>
    </row>
    <row r="33" spans="3:12" ht="16.5" customHeight="1" x14ac:dyDescent="0.3">
      <c r="C33" s="255" t="s">
        <v>70</v>
      </c>
      <c r="D33" s="255"/>
      <c r="E33" s="255"/>
      <c r="F33" s="255"/>
      <c r="G33" s="255"/>
      <c r="H33" s="255"/>
      <c r="I33" s="255"/>
      <c r="J33" s="255"/>
      <c r="K33" s="255"/>
      <c r="L33" s="145"/>
    </row>
    <row r="34" spans="3:12" s="144" customFormat="1" ht="30.75" customHeight="1" x14ac:dyDescent="0.3">
      <c r="C34" s="229" t="s">
        <v>121</v>
      </c>
      <c r="D34" s="229"/>
      <c r="E34" s="229"/>
      <c r="F34" s="229"/>
      <c r="G34" s="229"/>
      <c r="H34" s="229"/>
      <c r="I34" s="229"/>
      <c r="J34" s="229"/>
      <c r="K34" s="229"/>
      <c r="L34" s="145"/>
    </row>
    <row r="35" spans="3:12" s="144" customFormat="1" x14ac:dyDescent="0.3">
      <c r="C35" s="255" t="s">
        <v>82</v>
      </c>
      <c r="D35" s="255"/>
      <c r="E35" s="255"/>
      <c r="F35" s="255"/>
      <c r="G35" s="255"/>
      <c r="H35" s="255"/>
      <c r="I35" s="255"/>
      <c r="J35" s="255"/>
      <c r="K35" s="255"/>
      <c r="L35" s="145"/>
    </row>
    <row r="38" spans="3:12" x14ac:dyDescent="0.3">
      <c r="F38" s="96">
        <v>1000</v>
      </c>
    </row>
  </sheetData>
  <mergeCells count="7">
    <mergeCell ref="C33:K33"/>
    <mergeCell ref="C34:K34"/>
    <mergeCell ref="C35:K35"/>
    <mergeCell ref="D2:J4"/>
    <mergeCell ref="B5:C5"/>
    <mergeCell ref="B7:C7"/>
    <mergeCell ref="B8:C8"/>
  </mergeCells>
  <hyperlinks>
    <hyperlink ref="C35" r:id="rId1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showGridLines="0" topLeftCell="A46" zoomScale="90" zoomScaleNormal="90" workbookViewId="0"/>
  </sheetViews>
  <sheetFormatPr baseColWidth="10" defaultRowHeight="14.4" x14ac:dyDescent="0.3"/>
  <cols>
    <col min="1" max="1" width="3.88671875" customWidth="1"/>
    <col min="2" max="2" width="21.44140625" customWidth="1"/>
    <col min="3" max="3" width="3.33203125" style="4" customWidth="1"/>
    <col min="4" max="4" width="15.6640625" style="4" customWidth="1"/>
    <col min="5" max="5" width="3.109375" style="4" customWidth="1"/>
    <col min="6" max="6" width="15.6640625" customWidth="1"/>
    <col min="7" max="7" width="3.33203125" customWidth="1"/>
    <col min="8" max="8" width="15.6640625" customWidth="1"/>
    <col min="9" max="9" width="4.109375" style="4" customWidth="1"/>
    <col min="10" max="10" width="15.6640625" customWidth="1"/>
  </cols>
  <sheetData>
    <row r="1" spans="1:22" ht="12.75" customHeight="1" x14ac:dyDescent="0.3">
      <c r="B1" s="33"/>
      <c r="C1" s="33"/>
      <c r="D1" s="178"/>
      <c r="E1" s="178"/>
      <c r="F1" s="178"/>
      <c r="G1" s="178"/>
      <c r="H1" s="178"/>
      <c r="I1" s="178"/>
      <c r="J1" s="178"/>
    </row>
    <row r="2" spans="1:22" ht="28.5" customHeight="1" x14ac:dyDescent="0.3">
      <c r="B2" s="33"/>
      <c r="C2" s="33"/>
      <c r="D2" s="247" t="s">
        <v>120</v>
      </c>
      <c r="E2" s="247"/>
      <c r="F2" s="247"/>
      <c r="G2" s="247"/>
      <c r="H2" s="247"/>
      <c r="I2" s="247"/>
      <c r="J2" s="247"/>
    </row>
    <row r="3" spans="1:22" ht="45.75" customHeight="1" thickBot="1" x14ac:dyDescent="0.35">
      <c r="B3" s="53"/>
      <c r="C3" s="53"/>
      <c r="D3" s="239"/>
      <c r="E3" s="239"/>
      <c r="F3" s="239"/>
      <c r="G3" s="239"/>
      <c r="H3" s="239"/>
      <c r="I3" s="239"/>
      <c r="J3" s="239"/>
    </row>
    <row r="4" spans="1:22" s="70" customFormat="1" ht="21.75" customHeight="1" x14ac:dyDescent="0.3">
      <c r="B4" s="234" t="s">
        <v>114</v>
      </c>
      <c r="C4" s="74"/>
      <c r="D4" s="244" t="s">
        <v>116</v>
      </c>
      <c r="E4" s="177"/>
      <c r="F4" s="244" t="s">
        <v>122</v>
      </c>
      <c r="G4" s="75"/>
      <c r="H4" s="244" t="s">
        <v>91</v>
      </c>
      <c r="I4" s="75"/>
      <c r="J4" s="244" t="s">
        <v>92</v>
      </c>
    </row>
    <row r="5" spans="1:22" ht="31.5" customHeight="1" x14ac:dyDescent="0.3">
      <c r="B5" s="235"/>
      <c r="C5" s="176"/>
      <c r="D5" s="235"/>
      <c r="E5" s="167"/>
      <c r="F5" s="235"/>
      <c r="G5" s="167"/>
      <c r="H5" s="235"/>
      <c r="I5" s="167"/>
      <c r="J5" s="235"/>
      <c r="L5" s="170"/>
      <c r="M5" s="6"/>
      <c r="N5" s="263"/>
      <c r="O5" s="263"/>
      <c r="P5" s="263"/>
      <c r="Q5" s="11"/>
      <c r="R5" s="263"/>
      <c r="S5" s="263"/>
      <c r="T5" s="263"/>
    </row>
    <row r="6" spans="1:22" s="4" customFormat="1" x14ac:dyDescent="0.3">
      <c r="B6" s="11"/>
      <c r="C6" s="6"/>
      <c r="D6" s="16"/>
      <c r="E6" s="11"/>
      <c r="F6" s="12"/>
      <c r="G6" s="11"/>
      <c r="H6" s="5"/>
      <c r="I6" s="5"/>
      <c r="J6" s="11"/>
      <c r="L6" s="11"/>
      <c r="M6" s="6"/>
      <c r="N6" s="72"/>
      <c r="O6" s="11"/>
      <c r="P6" s="12"/>
      <c r="Q6" s="11"/>
      <c r="R6" s="2"/>
      <c r="S6" s="2"/>
      <c r="T6" s="11"/>
    </row>
    <row r="7" spans="1:22" x14ac:dyDescent="0.3">
      <c r="A7" s="2"/>
      <c r="B7" s="25" t="s">
        <v>3</v>
      </c>
      <c r="C7" s="112"/>
      <c r="D7" s="134">
        <v>7349472.0990000004</v>
      </c>
      <c r="E7" s="112"/>
      <c r="F7" s="114">
        <f t="shared" ref="F7" si="0">SUM(F8:F9)</f>
        <v>243700.236</v>
      </c>
      <c r="G7" s="26"/>
      <c r="H7" s="191">
        <v>3.3158876272645332</v>
      </c>
      <c r="I7" s="26"/>
      <c r="J7" s="128">
        <v>100</v>
      </c>
      <c r="L7" s="6"/>
      <c r="M7" s="11"/>
      <c r="N7" s="76"/>
      <c r="O7" s="11"/>
      <c r="P7" s="76"/>
      <c r="Q7" s="11"/>
      <c r="R7" s="77"/>
      <c r="S7" s="11"/>
      <c r="T7" s="11"/>
    </row>
    <row r="8" spans="1:22" s="4" customFormat="1" x14ac:dyDescent="0.3">
      <c r="A8" s="2"/>
      <c r="B8" s="8" t="s">
        <v>0</v>
      </c>
      <c r="C8" s="115"/>
      <c r="D8" s="116">
        <v>3707205.753</v>
      </c>
      <c r="E8" s="115"/>
      <c r="F8" s="116">
        <v>126115.435</v>
      </c>
      <c r="G8" s="72"/>
      <c r="H8" s="23">
        <v>3.4019000671312347</v>
      </c>
      <c r="I8" s="21"/>
      <c r="J8" s="13">
        <v>51.750230968180098</v>
      </c>
      <c r="L8" s="8"/>
      <c r="M8" s="18"/>
      <c r="N8" s="73"/>
      <c r="O8" s="18"/>
      <c r="P8" s="73"/>
      <c r="Q8" s="72"/>
      <c r="R8" s="13"/>
      <c r="S8" s="69"/>
      <c r="T8" s="13"/>
    </row>
    <row r="9" spans="1:22" s="4" customFormat="1" x14ac:dyDescent="0.3">
      <c r="A9" s="2"/>
      <c r="B9" s="8" t="s">
        <v>1</v>
      </c>
      <c r="C9" s="115"/>
      <c r="D9" s="116">
        <v>3642266.3459999999</v>
      </c>
      <c r="E9" s="115"/>
      <c r="F9" s="116">
        <v>117584.80100000001</v>
      </c>
      <c r="G9" s="72"/>
      <c r="H9" s="23">
        <v>3.228341637594232</v>
      </c>
      <c r="I9" s="21"/>
      <c r="J9" s="13">
        <v>48.249769031819895</v>
      </c>
      <c r="L9" s="8"/>
      <c r="M9" s="18"/>
      <c r="N9" s="73"/>
      <c r="O9" s="18"/>
      <c r="P9" s="73"/>
      <c r="Q9" s="72"/>
      <c r="R9" s="13"/>
      <c r="S9" s="69"/>
      <c r="T9" s="13"/>
    </row>
    <row r="10" spans="1:22" s="4" customFormat="1" x14ac:dyDescent="0.3">
      <c r="A10" s="2"/>
      <c r="B10" s="7"/>
      <c r="C10" s="117"/>
      <c r="D10" s="115"/>
      <c r="E10" s="117"/>
      <c r="F10" s="98"/>
      <c r="G10" s="72"/>
      <c r="H10" s="192"/>
      <c r="I10" s="21"/>
      <c r="J10" s="72"/>
      <c r="L10" s="7"/>
      <c r="M10" s="14"/>
      <c r="N10" s="18"/>
      <c r="O10" s="14"/>
      <c r="P10" s="72"/>
      <c r="Q10" s="72"/>
      <c r="R10" s="72"/>
      <c r="S10" s="69"/>
      <c r="T10" s="72"/>
    </row>
    <row r="11" spans="1:22" s="4" customFormat="1" x14ac:dyDescent="0.3">
      <c r="A11" s="2"/>
      <c r="B11" s="29" t="s">
        <v>17</v>
      </c>
      <c r="C11" s="118"/>
      <c r="D11" s="119">
        <f t="shared" ref="D11" si="1">SUM(D12:D27)</f>
        <v>7349472.0989999985</v>
      </c>
      <c r="E11" s="118"/>
      <c r="F11" s="113">
        <f t="shared" ref="F11" si="2">SUM(F12:F27)</f>
        <v>243698.83200000002</v>
      </c>
      <c r="G11" s="30"/>
      <c r="H11" s="191">
        <v>3.3158685238516483</v>
      </c>
      <c r="I11" s="31"/>
      <c r="J11" s="95">
        <v>99.999423882379844</v>
      </c>
      <c r="L11" s="78"/>
      <c r="M11" s="14"/>
      <c r="N11" s="79"/>
      <c r="O11" s="14"/>
      <c r="P11" s="76"/>
      <c r="Q11" s="72"/>
      <c r="R11" s="11"/>
      <c r="S11" s="69"/>
      <c r="T11" s="11"/>
    </row>
    <row r="12" spans="1:22" s="4" customFormat="1" x14ac:dyDescent="0.3">
      <c r="A12" s="2"/>
      <c r="B12" s="9" t="s">
        <v>4</v>
      </c>
      <c r="C12" s="109"/>
      <c r="D12" s="116">
        <v>670928.18500000006</v>
      </c>
      <c r="E12" s="98"/>
      <c r="F12" s="116">
        <v>7197.56</v>
      </c>
      <c r="G12" s="72"/>
      <c r="H12" s="23">
        <v>1.0727765148217763</v>
      </c>
      <c r="I12" s="21"/>
      <c r="J12" s="23">
        <v>2.9534481041700755</v>
      </c>
      <c r="L12" s="9"/>
      <c r="M12" s="15"/>
      <c r="N12" s="73"/>
      <c r="O12" s="72"/>
      <c r="P12" s="73"/>
      <c r="Q12" s="72"/>
      <c r="R12" s="13"/>
      <c r="S12" s="69"/>
      <c r="T12" s="13"/>
    </row>
    <row r="13" spans="1:22" x14ac:dyDescent="0.3">
      <c r="A13" s="2"/>
      <c r="B13" s="10" t="s">
        <v>5</v>
      </c>
      <c r="C13" s="120"/>
      <c r="D13" s="116">
        <v>637448.89500000002</v>
      </c>
      <c r="E13" s="120"/>
      <c r="F13" s="116">
        <v>8698.4609999999993</v>
      </c>
      <c r="G13" s="72"/>
      <c r="H13" s="23">
        <v>1.364573861250477</v>
      </c>
      <c r="I13" s="21"/>
      <c r="J13" s="23">
        <v>3.5693280986400024</v>
      </c>
      <c r="L13" s="10"/>
      <c r="M13" s="17"/>
      <c r="N13" s="73"/>
      <c r="O13" s="17"/>
      <c r="P13" s="73"/>
      <c r="Q13" s="72"/>
      <c r="R13" s="13"/>
      <c r="S13" s="69"/>
      <c r="T13" s="13"/>
    </row>
    <row r="14" spans="1:22" x14ac:dyDescent="0.3">
      <c r="A14" s="2"/>
      <c r="B14" s="10" t="s">
        <v>6</v>
      </c>
      <c r="C14" s="120"/>
      <c r="D14" s="116">
        <v>607431.299</v>
      </c>
      <c r="E14" s="98"/>
      <c r="F14" s="116">
        <v>9407.5290000000005</v>
      </c>
      <c r="G14" s="72"/>
      <c r="H14" s="23">
        <v>1.5487395884089932</v>
      </c>
      <c r="I14" s="21"/>
      <c r="J14" s="23">
        <v>3.8602871931564318</v>
      </c>
      <c r="K14" s="1"/>
      <c r="L14" s="10"/>
      <c r="M14" s="17"/>
      <c r="N14" s="73"/>
      <c r="O14" s="72"/>
      <c r="P14" s="73"/>
      <c r="Q14" s="72"/>
      <c r="R14" s="13"/>
      <c r="S14" s="69"/>
      <c r="T14" s="13"/>
      <c r="U14" s="1"/>
      <c r="V14" s="1"/>
    </row>
    <row r="15" spans="1:22" x14ac:dyDescent="0.3">
      <c r="A15" s="2"/>
      <c r="B15" s="10" t="s">
        <v>7</v>
      </c>
      <c r="C15" s="120"/>
      <c r="D15" s="116">
        <v>590069.33700000006</v>
      </c>
      <c r="E15" s="98"/>
      <c r="F15" s="116">
        <v>11337.621999999999</v>
      </c>
      <c r="G15" s="72"/>
      <c r="H15" s="23">
        <v>1.921405043285616</v>
      </c>
      <c r="I15" s="21"/>
      <c r="J15" s="23">
        <v>4.6522819124393457</v>
      </c>
      <c r="K15" s="3"/>
      <c r="L15" s="10"/>
      <c r="M15" s="17"/>
      <c r="N15" s="73"/>
      <c r="O15" s="72"/>
      <c r="P15" s="73"/>
      <c r="Q15" s="72"/>
      <c r="R15" s="13"/>
      <c r="S15" s="69"/>
      <c r="T15" s="13"/>
      <c r="U15" s="3"/>
      <c r="V15" s="2"/>
    </row>
    <row r="16" spans="1:22" x14ac:dyDescent="0.3">
      <c r="A16" s="2"/>
      <c r="B16" s="9" t="s">
        <v>8</v>
      </c>
      <c r="C16" s="109"/>
      <c r="D16" s="116">
        <v>603508.55500000005</v>
      </c>
      <c r="E16" s="98"/>
      <c r="F16" s="116">
        <v>16636.524000000001</v>
      </c>
      <c r="G16" s="72"/>
      <c r="H16" s="23">
        <v>2.7566343280751004</v>
      </c>
      <c r="I16" s="21"/>
      <c r="J16" s="23">
        <v>6.826634341051685</v>
      </c>
      <c r="L16" s="9"/>
      <c r="M16" s="15"/>
      <c r="N16" s="73"/>
      <c r="O16" s="72"/>
      <c r="P16" s="73"/>
      <c r="Q16" s="72"/>
      <c r="R16" s="13"/>
      <c r="S16" s="69"/>
      <c r="T16" s="13"/>
    </row>
    <row r="17" spans="1:22" x14ac:dyDescent="0.3">
      <c r="A17" s="2"/>
      <c r="B17" s="9" t="s">
        <v>9</v>
      </c>
      <c r="C17" s="109"/>
      <c r="D17" s="116">
        <v>609793.20700000005</v>
      </c>
      <c r="E17" s="109"/>
      <c r="F17" s="116">
        <v>23676.039000000001</v>
      </c>
      <c r="G17" s="72"/>
      <c r="H17" s="23">
        <v>3.882634100907588</v>
      </c>
      <c r="I17" s="21"/>
      <c r="J17" s="23">
        <v>9.7152302306346563</v>
      </c>
      <c r="L17" s="9"/>
      <c r="M17" s="15"/>
      <c r="N17" s="73"/>
      <c r="O17" s="15"/>
      <c r="P17" s="73"/>
      <c r="Q17" s="72"/>
      <c r="R17" s="13"/>
      <c r="S17" s="69"/>
      <c r="T17" s="13"/>
    </row>
    <row r="18" spans="1:22" x14ac:dyDescent="0.3">
      <c r="A18" s="2"/>
      <c r="B18" s="9" t="s">
        <v>10</v>
      </c>
      <c r="C18" s="109"/>
      <c r="D18" s="116">
        <v>551085.42599999998</v>
      </c>
      <c r="E18" s="98"/>
      <c r="F18" s="116">
        <v>25758.97</v>
      </c>
      <c r="G18" s="72"/>
      <c r="H18" s="23">
        <v>4.6742245003590428</v>
      </c>
      <c r="I18" s="21"/>
      <c r="J18" s="23">
        <v>10.569940523159772</v>
      </c>
      <c r="L18" s="9"/>
      <c r="M18" s="15"/>
      <c r="N18" s="73"/>
      <c r="O18" s="72"/>
      <c r="P18" s="73"/>
      <c r="Q18" s="72"/>
      <c r="R18" s="13"/>
      <c r="S18" s="69"/>
      <c r="T18" s="13"/>
    </row>
    <row r="19" spans="1:22" x14ac:dyDescent="0.3">
      <c r="A19" s="2"/>
      <c r="B19" s="9" t="s">
        <v>11</v>
      </c>
      <c r="C19" s="109"/>
      <c r="D19" s="116">
        <v>497755.63400000002</v>
      </c>
      <c r="E19" s="109"/>
      <c r="F19" s="116">
        <v>24783.495999999999</v>
      </c>
      <c r="G19" s="72"/>
      <c r="H19" s="23">
        <v>4.9790488157488131</v>
      </c>
      <c r="I19" s="21"/>
      <c r="J19" s="23">
        <v>10.169664341236009</v>
      </c>
      <c r="L19" s="9"/>
      <c r="M19" s="15"/>
      <c r="N19" s="73"/>
      <c r="O19" s="15"/>
      <c r="P19" s="73"/>
      <c r="Q19" s="72"/>
      <c r="R19" s="13"/>
      <c r="S19" s="69"/>
      <c r="T19" s="13"/>
    </row>
    <row r="20" spans="1:22" x14ac:dyDescent="0.3">
      <c r="A20" s="2"/>
      <c r="B20" s="9" t="s">
        <v>12</v>
      </c>
      <c r="C20" s="109"/>
      <c r="D20" s="116">
        <v>485057.94799999997</v>
      </c>
      <c r="E20" s="98"/>
      <c r="F20" s="116">
        <v>22500.971000000001</v>
      </c>
      <c r="G20" s="72"/>
      <c r="H20" s="23">
        <v>4.6388212156457653</v>
      </c>
      <c r="I20" s="21"/>
      <c r="J20" s="23">
        <v>9.2330526097643997</v>
      </c>
      <c r="L20" s="9"/>
      <c r="M20" s="15"/>
      <c r="N20" s="73"/>
      <c r="O20" s="72"/>
      <c r="P20" s="73"/>
      <c r="Q20" s="72"/>
      <c r="R20" s="13"/>
      <c r="S20" s="69"/>
      <c r="T20" s="13"/>
    </row>
    <row r="21" spans="1:22" x14ac:dyDescent="0.3">
      <c r="A21" s="2"/>
      <c r="B21" s="9" t="s">
        <v>13</v>
      </c>
      <c r="C21" s="109"/>
      <c r="D21" s="116">
        <v>454042.57199999999</v>
      </c>
      <c r="E21" s="98"/>
      <c r="F21" s="116">
        <v>19765.654999999999</v>
      </c>
      <c r="G21" s="72"/>
      <c r="H21" s="23">
        <v>4.3532602929577271</v>
      </c>
      <c r="I21" s="21"/>
      <c r="J21" s="23">
        <v>8.1106425354467042</v>
      </c>
      <c r="L21" s="9"/>
      <c r="M21" s="15"/>
      <c r="N21" s="73"/>
      <c r="O21" s="72"/>
      <c r="P21" s="73"/>
      <c r="Q21" s="72"/>
      <c r="R21" s="13"/>
      <c r="S21" s="69"/>
      <c r="T21" s="13"/>
    </row>
    <row r="22" spans="1:22" x14ac:dyDescent="0.3">
      <c r="A22" s="2"/>
      <c r="B22" s="9" t="s">
        <v>14</v>
      </c>
      <c r="C22" s="109"/>
      <c r="D22" s="116">
        <v>401753.12300000002</v>
      </c>
      <c r="E22" s="98"/>
      <c r="F22" s="116">
        <v>17161.607</v>
      </c>
      <c r="G22" s="72"/>
      <c r="H22" s="23">
        <v>4.271679799736118</v>
      </c>
      <c r="I22" s="21"/>
      <c r="J22" s="23">
        <v>7.0420969965741032</v>
      </c>
      <c r="L22" s="9"/>
      <c r="M22" s="15"/>
      <c r="N22" s="73"/>
      <c r="O22" s="72"/>
      <c r="P22" s="73"/>
      <c r="Q22" s="72"/>
      <c r="R22" s="13"/>
      <c r="S22" s="69"/>
      <c r="T22" s="13"/>
    </row>
    <row r="23" spans="1:22" x14ac:dyDescent="0.3">
      <c r="A23" s="2"/>
      <c r="B23" s="9" t="s">
        <v>15</v>
      </c>
      <c r="C23" s="109"/>
      <c r="D23" s="116">
        <v>339691.467</v>
      </c>
      <c r="E23" s="109"/>
      <c r="F23" s="116">
        <v>14448.505999999999</v>
      </c>
      <c r="G23" s="72"/>
      <c r="H23" s="23">
        <v>4.2534203545360176</v>
      </c>
      <c r="I23" s="21"/>
      <c r="J23" s="23">
        <v>5.9288026294730383</v>
      </c>
      <c r="L23" s="9"/>
      <c r="M23" s="15"/>
      <c r="N23" s="73"/>
      <c r="O23" s="15"/>
      <c r="P23" s="73"/>
      <c r="Q23" s="72"/>
      <c r="R23" s="13"/>
      <c r="S23" s="69"/>
      <c r="T23" s="13"/>
    </row>
    <row r="24" spans="1:22" x14ac:dyDescent="0.3">
      <c r="A24" s="2"/>
      <c r="B24" s="9" t="s">
        <v>16</v>
      </c>
      <c r="C24" s="109"/>
      <c r="D24" s="116">
        <v>292726.79200000002</v>
      </c>
      <c r="E24" s="98"/>
      <c r="F24" s="116">
        <v>11901.681</v>
      </c>
      <c r="G24" s="72"/>
      <c r="H24" s="23">
        <v>4.0657983229632082</v>
      </c>
      <c r="I24" s="21"/>
      <c r="J24" s="23">
        <v>4.8837379870243547</v>
      </c>
      <c r="L24" s="9"/>
      <c r="M24" s="15"/>
      <c r="N24" s="73"/>
      <c r="O24" s="72"/>
      <c r="P24" s="73"/>
      <c r="Q24" s="72"/>
      <c r="R24" s="13"/>
      <c r="S24" s="69"/>
      <c r="T24" s="13"/>
    </row>
    <row r="25" spans="1:22" x14ac:dyDescent="0.3">
      <c r="A25" s="2"/>
      <c r="B25" s="147" t="s">
        <v>79</v>
      </c>
      <c r="C25" s="109"/>
      <c r="D25" s="116">
        <v>215047.15100000001</v>
      </c>
      <c r="E25" s="109"/>
      <c r="F25" s="116">
        <v>9074.4</v>
      </c>
      <c r="G25" s="72"/>
      <c r="H25" s="23">
        <v>4.2197257474943246</v>
      </c>
      <c r="I25" s="21"/>
      <c r="J25" s="23">
        <v>3.7235909775647489</v>
      </c>
      <c r="L25" s="9"/>
      <c r="M25" s="15"/>
      <c r="N25" s="73"/>
      <c r="O25" s="15"/>
      <c r="P25" s="73"/>
      <c r="Q25" s="72"/>
      <c r="R25" s="13"/>
      <c r="S25" s="69"/>
      <c r="T25" s="13"/>
    </row>
    <row r="26" spans="1:22" s="144" customFormat="1" x14ac:dyDescent="0.3">
      <c r="A26" s="2"/>
      <c r="B26" s="147" t="s">
        <v>80</v>
      </c>
      <c r="C26" s="109"/>
      <c r="D26" s="116">
        <v>153207.02600000001</v>
      </c>
      <c r="E26" s="109"/>
      <c r="F26" s="116">
        <v>7649.5969999999998</v>
      </c>
      <c r="G26" s="94"/>
      <c r="H26" s="23">
        <v>4.9929805438557366</v>
      </c>
      <c r="I26" s="21"/>
      <c r="J26" s="23">
        <v>3.1389370505164385</v>
      </c>
      <c r="L26" s="9"/>
      <c r="M26" s="15"/>
      <c r="N26" s="73"/>
      <c r="O26" s="15"/>
      <c r="P26" s="73"/>
      <c r="Q26" s="94"/>
      <c r="R26" s="13"/>
      <c r="S26" s="69"/>
      <c r="T26" s="13"/>
    </row>
    <row r="27" spans="1:22" s="144" customFormat="1" x14ac:dyDescent="0.3">
      <c r="A27" s="2"/>
      <c r="B27" s="147" t="s">
        <v>81</v>
      </c>
      <c r="C27" s="109"/>
      <c r="D27" s="116">
        <v>239925.48200000002</v>
      </c>
      <c r="E27" s="109"/>
      <c r="F27" s="116">
        <v>13700.214</v>
      </c>
      <c r="G27" s="94"/>
      <c r="H27" s="23">
        <v>5.7101954681078846</v>
      </c>
      <c r="I27" s="21"/>
      <c r="J27" s="23">
        <v>5.6217483515280628</v>
      </c>
      <c r="L27" s="9"/>
      <c r="M27" s="15"/>
      <c r="N27" s="73"/>
      <c r="O27" s="15"/>
      <c r="P27" s="73"/>
      <c r="Q27" s="94"/>
      <c r="R27" s="13"/>
      <c r="S27" s="69"/>
      <c r="T27" s="13"/>
    </row>
    <row r="28" spans="1:22" s="144" customFormat="1" x14ac:dyDescent="0.3">
      <c r="A28" s="2"/>
      <c r="B28" s="147"/>
      <c r="C28" s="109"/>
      <c r="D28" s="116"/>
      <c r="E28" s="109"/>
      <c r="F28" s="116"/>
      <c r="G28" s="94"/>
      <c r="H28" s="23"/>
      <c r="I28" s="21"/>
      <c r="J28" s="13"/>
      <c r="L28" s="9"/>
      <c r="M28" s="15"/>
      <c r="N28" s="73"/>
      <c r="O28" s="15"/>
      <c r="P28" s="73"/>
      <c r="Q28" s="94"/>
      <c r="R28" s="13"/>
      <c r="S28" s="69"/>
      <c r="T28" s="13"/>
    </row>
    <row r="29" spans="1:22" x14ac:dyDescent="0.3">
      <c r="A29" s="2"/>
      <c r="B29" s="29" t="s">
        <v>105</v>
      </c>
      <c r="C29" s="118"/>
      <c r="D29" s="119">
        <f t="shared" ref="D29" si="3">SUM(D30:D45)</f>
        <v>3707205.753</v>
      </c>
      <c r="E29" s="118"/>
      <c r="F29" s="113">
        <f t="shared" ref="F29" si="4">SUM(F30:F45)</f>
        <v>126114.726</v>
      </c>
      <c r="G29" s="30"/>
      <c r="H29" s="191">
        <v>3.4018809422148624</v>
      </c>
      <c r="I29" s="31"/>
      <c r="J29" s="95">
        <v>100.00000000000001</v>
      </c>
      <c r="L29" s="69"/>
      <c r="M29" s="69"/>
      <c r="N29" s="72"/>
      <c r="O29" s="72"/>
      <c r="P29" s="72"/>
      <c r="Q29" s="72"/>
      <c r="R29" s="2"/>
      <c r="S29" s="2"/>
      <c r="T29" s="72"/>
    </row>
    <row r="30" spans="1:22" s="144" customFormat="1" x14ac:dyDescent="0.3">
      <c r="A30" s="2"/>
      <c r="B30" s="9" t="s">
        <v>4</v>
      </c>
      <c r="C30" s="109"/>
      <c r="D30" s="116">
        <v>346751.50300000003</v>
      </c>
      <c r="E30" s="98"/>
      <c r="F30" s="116">
        <v>3674.3820000000001</v>
      </c>
      <c r="G30" s="94"/>
      <c r="H30" s="23">
        <v>1.0596585647676342</v>
      </c>
      <c r="I30" s="21"/>
      <c r="J30" s="23">
        <v>2.9135233580890469</v>
      </c>
      <c r="L30" s="9"/>
      <c r="M30" s="15"/>
      <c r="N30" s="73"/>
      <c r="O30" s="94"/>
      <c r="P30" s="73"/>
      <c r="Q30" s="94"/>
      <c r="R30" s="13"/>
      <c r="S30" s="69"/>
      <c r="T30" s="13"/>
    </row>
    <row r="31" spans="1:22" s="144" customFormat="1" x14ac:dyDescent="0.3">
      <c r="A31" s="2"/>
      <c r="B31" s="10" t="s">
        <v>5</v>
      </c>
      <c r="C31" s="120"/>
      <c r="D31" s="116">
        <v>329582.26299999998</v>
      </c>
      <c r="E31" s="120"/>
      <c r="F31" s="116">
        <v>4410.4870000000001</v>
      </c>
      <c r="G31" s="94"/>
      <c r="H31" s="23">
        <v>1.3382052055392315</v>
      </c>
      <c r="I31" s="21"/>
      <c r="J31" s="23">
        <v>3.497202222046615</v>
      </c>
      <c r="L31" s="10"/>
      <c r="M31" s="17"/>
      <c r="N31" s="73"/>
      <c r="O31" s="17"/>
      <c r="P31" s="73"/>
      <c r="Q31" s="94"/>
      <c r="R31" s="13"/>
      <c r="S31" s="69"/>
      <c r="T31" s="13"/>
    </row>
    <row r="32" spans="1:22" s="144" customFormat="1" x14ac:dyDescent="0.3">
      <c r="A32" s="2"/>
      <c r="B32" s="10" t="s">
        <v>6</v>
      </c>
      <c r="C32" s="120"/>
      <c r="D32" s="116">
        <v>314040.26899999997</v>
      </c>
      <c r="E32" s="98"/>
      <c r="F32" s="116">
        <v>4860.0550000000003</v>
      </c>
      <c r="G32" s="94"/>
      <c r="H32" s="23">
        <v>1.5475897455685852</v>
      </c>
      <c r="I32" s="21"/>
      <c r="J32" s="23">
        <v>3.8536776426886106</v>
      </c>
      <c r="K32" s="1"/>
      <c r="L32" s="10"/>
      <c r="M32" s="17"/>
      <c r="N32" s="73"/>
      <c r="O32" s="94"/>
      <c r="P32" s="73"/>
      <c r="Q32" s="94"/>
      <c r="R32" s="13"/>
      <c r="S32" s="69"/>
      <c r="T32" s="13"/>
      <c r="U32" s="1"/>
      <c r="V32" s="1"/>
    </row>
    <row r="33" spans="1:22" s="144" customFormat="1" x14ac:dyDescent="0.3">
      <c r="A33" s="2"/>
      <c r="B33" s="10" t="s">
        <v>7</v>
      </c>
      <c r="C33" s="120"/>
      <c r="D33" s="116">
        <v>304828.74</v>
      </c>
      <c r="E33" s="98"/>
      <c r="F33" s="116">
        <v>5880.1559999999999</v>
      </c>
      <c r="G33" s="94"/>
      <c r="H33" s="23">
        <v>1.9290031510808332</v>
      </c>
      <c r="I33" s="21"/>
      <c r="J33" s="23">
        <v>4.6625451178476967</v>
      </c>
      <c r="K33" s="3"/>
      <c r="L33" s="10"/>
      <c r="M33" s="17"/>
      <c r="N33" s="73"/>
      <c r="O33" s="94"/>
      <c r="P33" s="73"/>
      <c r="Q33" s="94"/>
      <c r="R33" s="13"/>
      <c r="S33" s="69"/>
      <c r="T33" s="13"/>
      <c r="U33" s="3"/>
      <c r="V33" s="2"/>
    </row>
    <row r="34" spans="1:22" s="144" customFormat="1" x14ac:dyDescent="0.3">
      <c r="A34" s="2"/>
      <c r="B34" s="9" t="s">
        <v>8</v>
      </c>
      <c r="C34" s="109"/>
      <c r="D34" s="116">
        <v>310593.27</v>
      </c>
      <c r="E34" s="98"/>
      <c r="F34" s="116">
        <v>8842.81</v>
      </c>
      <c r="G34" s="94"/>
      <c r="H34" s="23">
        <v>2.8470707043974262</v>
      </c>
      <c r="I34" s="21"/>
      <c r="J34" s="23">
        <v>7.0117188376558017</v>
      </c>
      <c r="L34" s="9"/>
      <c r="M34" s="15"/>
      <c r="N34" s="73"/>
      <c r="O34" s="94"/>
      <c r="P34" s="73"/>
      <c r="Q34" s="94"/>
      <c r="R34" s="13"/>
      <c r="S34" s="69"/>
      <c r="T34" s="13"/>
    </row>
    <row r="35" spans="1:22" s="144" customFormat="1" x14ac:dyDescent="0.3">
      <c r="A35" s="2"/>
      <c r="B35" s="9" t="s">
        <v>9</v>
      </c>
      <c r="C35" s="109"/>
      <c r="D35" s="116">
        <v>311657.08899999998</v>
      </c>
      <c r="E35" s="109"/>
      <c r="F35" s="116">
        <v>12854.009</v>
      </c>
      <c r="G35" s="94"/>
      <c r="H35" s="23">
        <v>4.1244077076007084</v>
      </c>
      <c r="I35" s="21"/>
      <c r="J35" s="23">
        <v>10.192314099782447</v>
      </c>
      <c r="L35" s="9"/>
      <c r="M35" s="15"/>
      <c r="N35" s="73"/>
      <c r="O35" s="15"/>
      <c r="P35" s="73"/>
      <c r="Q35" s="94"/>
      <c r="R35" s="13"/>
      <c r="S35" s="69"/>
      <c r="T35" s="13"/>
    </row>
    <row r="36" spans="1:22" s="144" customFormat="1" x14ac:dyDescent="0.3">
      <c r="A36" s="2"/>
      <c r="B36" s="9" t="s">
        <v>10</v>
      </c>
      <c r="C36" s="109"/>
      <c r="D36" s="116">
        <v>279682.23499999999</v>
      </c>
      <c r="E36" s="98"/>
      <c r="F36" s="116">
        <v>14162.373</v>
      </c>
      <c r="G36" s="94"/>
      <c r="H36" s="23">
        <v>5.0637370657453449</v>
      </c>
      <c r="I36" s="21"/>
      <c r="J36" s="23">
        <v>11.229753613388494</v>
      </c>
      <c r="L36" s="9"/>
      <c r="M36" s="15"/>
      <c r="N36" s="73"/>
      <c r="O36" s="94"/>
      <c r="P36" s="73"/>
      <c r="Q36" s="94"/>
      <c r="R36" s="13"/>
      <c r="S36" s="69"/>
      <c r="T36" s="13"/>
    </row>
    <row r="37" spans="1:22" s="144" customFormat="1" x14ac:dyDescent="0.3">
      <c r="A37" s="2"/>
      <c r="B37" s="9" t="s">
        <v>11</v>
      </c>
      <c r="C37" s="109"/>
      <c r="D37" s="116">
        <v>251914.80799999999</v>
      </c>
      <c r="E37" s="109"/>
      <c r="F37" s="116">
        <v>13607.17</v>
      </c>
      <c r="G37" s="94"/>
      <c r="H37" s="23">
        <v>5.4014966837519136</v>
      </c>
      <c r="I37" s="21"/>
      <c r="J37" s="23">
        <v>10.78951715757603</v>
      </c>
      <c r="L37" s="9"/>
      <c r="M37" s="15"/>
      <c r="N37" s="73"/>
      <c r="O37" s="15"/>
      <c r="P37" s="73"/>
      <c r="Q37" s="94"/>
      <c r="R37" s="13"/>
      <c r="S37" s="69"/>
      <c r="T37" s="13"/>
    </row>
    <row r="38" spans="1:22" s="144" customFormat="1" x14ac:dyDescent="0.3">
      <c r="A38" s="2"/>
      <c r="B38" s="9" t="s">
        <v>12</v>
      </c>
      <c r="C38" s="109"/>
      <c r="D38" s="116">
        <v>245532.19399999999</v>
      </c>
      <c r="E38" s="98"/>
      <c r="F38" s="116">
        <v>12190.953</v>
      </c>
      <c r="G38" s="94"/>
      <c r="H38" s="23">
        <v>4.96511386201355</v>
      </c>
      <c r="I38" s="21"/>
      <c r="J38" s="23">
        <v>9.6665578926920883</v>
      </c>
      <c r="L38" s="9"/>
      <c r="M38" s="15"/>
      <c r="N38" s="73"/>
      <c r="O38" s="94"/>
      <c r="P38" s="73"/>
      <c r="Q38" s="94"/>
      <c r="R38" s="13"/>
      <c r="S38" s="69"/>
      <c r="T38" s="13"/>
    </row>
    <row r="39" spans="1:22" s="144" customFormat="1" x14ac:dyDescent="0.3">
      <c r="A39" s="2"/>
      <c r="B39" s="9" t="s">
        <v>13</v>
      </c>
      <c r="C39" s="109"/>
      <c r="D39" s="116">
        <v>228545.89799999999</v>
      </c>
      <c r="E39" s="98"/>
      <c r="F39" s="116">
        <v>10503.14</v>
      </c>
      <c r="G39" s="94"/>
      <c r="H39" s="23">
        <v>4.595637065426569</v>
      </c>
      <c r="I39" s="21"/>
      <c r="J39" s="23">
        <v>8.3282423338889071</v>
      </c>
      <c r="L39" s="9"/>
      <c r="M39" s="15"/>
      <c r="N39" s="73"/>
      <c r="O39" s="94"/>
      <c r="P39" s="73"/>
      <c r="Q39" s="94"/>
      <c r="R39" s="13"/>
      <c r="S39" s="69"/>
      <c r="T39" s="13"/>
    </row>
    <row r="40" spans="1:22" s="144" customFormat="1" x14ac:dyDescent="0.3">
      <c r="A40" s="2"/>
      <c r="B40" s="9" t="s">
        <v>14</v>
      </c>
      <c r="C40" s="109"/>
      <c r="D40" s="116">
        <v>200783.38800000001</v>
      </c>
      <c r="E40" s="98"/>
      <c r="F40" s="116">
        <v>8851.6059999999998</v>
      </c>
      <c r="G40" s="94"/>
      <c r="H40" s="23">
        <v>4.4085350327886683</v>
      </c>
      <c r="I40" s="21"/>
      <c r="J40" s="23">
        <v>7.018693439495717</v>
      </c>
      <c r="L40" s="9"/>
      <c r="M40" s="15"/>
      <c r="N40" s="73"/>
      <c r="O40" s="94"/>
      <c r="P40" s="73"/>
      <c r="Q40" s="94"/>
      <c r="R40" s="13"/>
      <c r="S40" s="69"/>
      <c r="T40" s="13"/>
    </row>
    <row r="41" spans="1:22" s="144" customFormat="1" x14ac:dyDescent="0.3">
      <c r="A41" s="2"/>
      <c r="B41" s="9" t="s">
        <v>15</v>
      </c>
      <c r="C41" s="109"/>
      <c r="D41" s="116">
        <v>167871.46599999999</v>
      </c>
      <c r="E41" s="109"/>
      <c r="F41" s="116">
        <v>7175.9520000000002</v>
      </c>
      <c r="G41" s="94"/>
      <c r="H41" s="23">
        <v>4.2746704791390817</v>
      </c>
      <c r="I41" s="21"/>
      <c r="J41" s="23">
        <v>5.690019102130865</v>
      </c>
      <c r="L41" s="9"/>
      <c r="M41" s="15"/>
      <c r="N41" s="73"/>
      <c r="O41" s="15"/>
      <c r="P41" s="73"/>
      <c r="Q41" s="94"/>
      <c r="R41" s="13"/>
      <c r="S41" s="69"/>
      <c r="T41" s="13"/>
    </row>
    <row r="42" spans="1:22" s="144" customFormat="1" x14ac:dyDescent="0.3">
      <c r="A42" s="2"/>
      <c r="B42" s="9" t="s">
        <v>16</v>
      </c>
      <c r="C42" s="109"/>
      <c r="D42" s="116">
        <v>142749.095</v>
      </c>
      <c r="E42" s="98"/>
      <c r="F42" s="116">
        <v>5731.4470000000001</v>
      </c>
      <c r="G42" s="94"/>
      <c r="H42" s="23">
        <v>4.0150496225562762</v>
      </c>
      <c r="I42" s="21"/>
      <c r="J42" s="23">
        <v>4.5446294669823102</v>
      </c>
      <c r="L42" s="9"/>
      <c r="M42" s="15"/>
      <c r="N42" s="73"/>
      <c r="O42" s="94"/>
      <c r="P42" s="73"/>
      <c r="Q42" s="94"/>
      <c r="R42" s="13"/>
      <c r="S42" s="69"/>
      <c r="T42" s="13"/>
    </row>
    <row r="43" spans="1:22" s="144" customFormat="1" x14ac:dyDescent="0.3">
      <c r="A43" s="2"/>
      <c r="B43" s="147" t="s">
        <v>79</v>
      </c>
      <c r="C43" s="109"/>
      <c r="D43" s="116">
        <v>102619.243</v>
      </c>
      <c r="E43" s="109"/>
      <c r="F43" s="116">
        <v>4261.3819999999996</v>
      </c>
      <c r="G43" s="94"/>
      <c r="H43" s="23">
        <v>4.1526149242788701</v>
      </c>
      <c r="I43" s="21"/>
      <c r="J43" s="23">
        <v>3.3789725713712451</v>
      </c>
      <c r="L43" s="9"/>
      <c r="M43" s="15"/>
      <c r="N43" s="73"/>
      <c r="O43" s="15"/>
      <c r="P43" s="73"/>
      <c r="Q43" s="94"/>
      <c r="R43" s="13"/>
      <c r="S43" s="69"/>
      <c r="T43" s="13"/>
    </row>
    <row r="44" spans="1:22" s="144" customFormat="1" x14ac:dyDescent="0.3">
      <c r="A44" s="2"/>
      <c r="B44" s="147" t="s">
        <v>80</v>
      </c>
      <c r="C44" s="109"/>
      <c r="D44" s="116">
        <v>71182.649999999994</v>
      </c>
      <c r="E44" s="109"/>
      <c r="F44" s="116">
        <v>3435.346</v>
      </c>
      <c r="G44" s="94"/>
      <c r="H44" s="23">
        <v>4.8261001803107924</v>
      </c>
      <c r="I44" s="21"/>
      <c r="J44" s="23">
        <v>2.7239848263239299</v>
      </c>
      <c r="L44" s="9"/>
      <c r="M44" s="15"/>
      <c r="N44" s="73"/>
      <c r="O44" s="15"/>
      <c r="P44" s="73"/>
      <c r="Q44" s="94"/>
      <c r="R44" s="13"/>
      <c r="S44" s="69"/>
      <c r="T44" s="13"/>
    </row>
    <row r="45" spans="1:22" s="144" customFormat="1" x14ac:dyDescent="0.3">
      <c r="A45" s="2"/>
      <c r="B45" s="147" t="s">
        <v>81</v>
      </c>
      <c r="C45" s="109"/>
      <c r="D45" s="116">
        <v>98871.642000000007</v>
      </c>
      <c r="E45" s="109"/>
      <c r="F45" s="116">
        <v>5673.4579999999996</v>
      </c>
      <c r="G45" s="94"/>
      <c r="H45" s="23">
        <v>5.7382055008249981</v>
      </c>
      <c r="I45" s="21"/>
      <c r="J45" s="23">
        <v>4.4986483180401944</v>
      </c>
      <c r="L45" s="9"/>
      <c r="M45" s="15"/>
      <c r="N45" s="73"/>
      <c r="O45" s="15"/>
      <c r="P45" s="73"/>
      <c r="Q45" s="94"/>
      <c r="R45" s="13"/>
      <c r="S45" s="69"/>
      <c r="T45" s="13"/>
    </row>
    <row r="46" spans="1:22" s="144" customFormat="1" ht="8.25" customHeight="1" x14ac:dyDescent="0.3">
      <c r="A46" s="2"/>
      <c r="B46" s="147"/>
      <c r="C46" s="109"/>
      <c r="D46" s="142"/>
      <c r="E46" s="109"/>
      <c r="F46" s="142"/>
      <c r="G46" s="94"/>
      <c r="H46" s="23"/>
      <c r="I46" s="21"/>
      <c r="J46" s="13"/>
      <c r="L46" s="9"/>
      <c r="M46" s="15"/>
      <c r="N46" s="73"/>
      <c r="O46" s="15"/>
      <c r="P46" s="73"/>
      <c r="Q46" s="94"/>
      <c r="R46" s="13"/>
      <c r="S46" s="69"/>
      <c r="T46" s="13"/>
    </row>
    <row r="47" spans="1:22" s="144" customFormat="1" x14ac:dyDescent="0.3">
      <c r="A47" s="2"/>
      <c r="B47" s="29" t="s">
        <v>106</v>
      </c>
      <c r="C47" s="118"/>
      <c r="D47" s="119">
        <f t="shared" ref="D47" si="5">SUM(D48:D63)</f>
        <v>3642266.3460000004</v>
      </c>
      <c r="E47" s="118"/>
      <c r="F47" s="113">
        <f t="shared" ref="F47" si="6">SUM(F48:F63)</f>
        <v>117584.106</v>
      </c>
      <c r="G47" s="30"/>
      <c r="H47" s="191">
        <v>3.2283225560682265</v>
      </c>
      <c r="I47" s="31"/>
      <c r="J47" s="95">
        <v>100.00000000000001</v>
      </c>
      <c r="L47" s="69"/>
      <c r="M47" s="69"/>
      <c r="N47" s="94"/>
      <c r="O47" s="94"/>
      <c r="P47" s="94"/>
      <c r="Q47" s="94"/>
      <c r="R47" s="2"/>
      <c r="S47" s="2"/>
      <c r="T47" s="94"/>
    </row>
    <row r="48" spans="1:22" s="144" customFormat="1" x14ac:dyDescent="0.3">
      <c r="A48" s="2"/>
      <c r="B48" s="9" t="s">
        <v>4</v>
      </c>
      <c r="C48" s="109"/>
      <c r="D48" s="116">
        <v>324176.68199999997</v>
      </c>
      <c r="E48" s="98"/>
      <c r="F48" s="116">
        <v>3523.1779999999999</v>
      </c>
      <c r="G48" s="94"/>
      <c r="H48" s="23">
        <v>1.0868079647998865</v>
      </c>
      <c r="I48" s="21"/>
      <c r="J48" s="23">
        <v>2.9963046196056462</v>
      </c>
      <c r="L48" s="9"/>
      <c r="M48" s="15"/>
      <c r="N48" s="73"/>
      <c r="O48" s="94"/>
      <c r="P48" s="73"/>
      <c r="Q48" s="94"/>
      <c r="R48" s="13"/>
      <c r="S48" s="69"/>
      <c r="T48" s="13"/>
    </row>
    <row r="49" spans="1:22" s="144" customFormat="1" x14ac:dyDescent="0.3">
      <c r="A49" s="2"/>
      <c r="B49" s="10" t="s">
        <v>5</v>
      </c>
      <c r="C49" s="120"/>
      <c r="D49" s="116">
        <v>307866.63199999998</v>
      </c>
      <c r="E49" s="120"/>
      <c r="F49" s="116">
        <v>4287.9740000000002</v>
      </c>
      <c r="G49" s="94"/>
      <c r="H49" s="23">
        <v>1.3928024521994966</v>
      </c>
      <c r="I49" s="21"/>
      <c r="J49" s="23">
        <v>3.646729261180929</v>
      </c>
      <c r="L49" s="10"/>
      <c r="M49" s="17"/>
      <c r="N49" s="73"/>
      <c r="O49" s="17"/>
      <c r="P49" s="73"/>
      <c r="Q49" s="94"/>
      <c r="R49" s="13"/>
      <c r="S49" s="69"/>
      <c r="T49" s="13"/>
    </row>
    <row r="50" spans="1:22" s="144" customFormat="1" x14ac:dyDescent="0.3">
      <c r="A50" s="2"/>
      <c r="B50" s="10" t="s">
        <v>6</v>
      </c>
      <c r="C50" s="120"/>
      <c r="D50" s="116">
        <v>293391.03000000003</v>
      </c>
      <c r="E50" s="98"/>
      <c r="F50" s="116">
        <v>4547.4740000000002</v>
      </c>
      <c r="G50" s="94"/>
      <c r="H50" s="23">
        <v>1.5499703586711564</v>
      </c>
      <c r="I50" s="21"/>
      <c r="J50" s="23">
        <v>3.8674223538341144</v>
      </c>
      <c r="K50" s="1"/>
      <c r="L50" s="10"/>
      <c r="M50" s="17"/>
      <c r="N50" s="73"/>
      <c r="O50" s="94"/>
      <c r="P50" s="73"/>
      <c r="Q50" s="94"/>
      <c r="R50" s="13"/>
      <c r="S50" s="69"/>
      <c r="T50" s="13"/>
      <c r="U50" s="1"/>
      <c r="V50" s="1"/>
    </row>
    <row r="51" spans="1:22" s="144" customFormat="1" x14ac:dyDescent="0.3">
      <c r="A51" s="2"/>
      <c r="B51" s="10" t="s">
        <v>7</v>
      </c>
      <c r="C51" s="120"/>
      <c r="D51" s="116">
        <v>285240.59700000001</v>
      </c>
      <c r="E51" s="98"/>
      <c r="F51" s="116">
        <v>5457.4660000000003</v>
      </c>
      <c r="G51" s="94"/>
      <c r="H51" s="23">
        <v>1.9132851555488786</v>
      </c>
      <c r="I51" s="21"/>
      <c r="J51" s="23">
        <v>4.6413296708655505</v>
      </c>
      <c r="K51" s="3"/>
      <c r="L51" s="10"/>
      <c r="M51" s="17"/>
      <c r="N51" s="73"/>
      <c r="O51" s="94"/>
      <c r="P51" s="73"/>
      <c r="Q51" s="94"/>
      <c r="R51" s="13"/>
      <c r="S51" s="69"/>
      <c r="T51" s="13"/>
      <c r="U51" s="3"/>
      <c r="V51" s="2"/>
    </row>
    <row r="52" spans="1:22" s="144" customFormat="1" x14ac:dyDescent="0.3">
      <c r="A52" s="2"/>
      <c r="B52" s="9" t="s">
        <v>8</v>
      </c>
      <c r="C52" s="109"/>
      <c r="D52" s="116">
        <v>292915.28499999997</v>
      </c>
      <c r="E52" s="98"/>
      <c r="F52" s="116">
        <v>7793.7139999999999</v>
      </c>
      <c r="G52" s="94"/>
      <c r="H52" s="23">
        <v>2.6607399473878601</v>
      </c>
      <c r="I52" s="21"/>
      <c r="J52" s="23">
        <v>6.6282036451423121</v>
      </c>
      <c r="L52" s="9"/>
      <c r="M52" s="15"/>
      <c r="N52" s="73"/>
      <c r="O52" s="94"/>
      <c r="P52" s="73"/>
      <c r="Q52" s="94"/>
      <c r="R52" s="13"/>
      <c r="S52" s="69"/>
      <c r="T52" s="13"/>
    </row>
    <row r="53" spans="1:22" s="144" customFormat="1" x14ac:dyDescent="0.3">
      <c r="A53" s="2"/>
      <c r="B53" s="9" t="s">
        <v>9</v>
      </c>
      <c r="C53" s="109"/>
      <c r="D53" s="116">
        <v>298136.11800000002</v>
      </c>
      <c r="E53" s="109"/>
      <c r="F53" s="116">
        <v>10822.03</v>
      </c>
      <c r="G53" s="94"/>
      <c r="H53" s="23">
        <v>3.6298956572581385</v>
      </c>
      <c r="I53" s="21"/>
      <c r="J53" s="23">
        <v>9.2036503641061831</v>
      </c>
      <c r="L53" s="9"/>
      <c r="M53" s="15"/>
      <c r="N53" s="73"/>
      <c r="O53" s="15"/>
      <c r="P53" s="73"/>
      <c r="Q53" s="94"/>
      <c r="R53" s="13"/>
      <c r="S53" s="69"/>
      <c r="T53" s="13"/>
    </row>
    <row r="54" spans="1:22" s="144" customFormat="1" x14ac:dyDescent="0.3">
      <c r="A54" s="2"/>
      <c r="B54" s="9" t="s">
        <v>10</v>
      </c>
      <c r="C54" s="109"/>
      <c r="D54" s="116">
        <v>271403.19099999999</v>
      </c>
      <c r="E54" s="98"/>
      <c r="F54" s="116">
        <v>11596.597</v>
      </c>
      <c r="G54" s="94"/>
      <c r="H54" s="23">
        <v>4.2728300125255343</v>
      </c>
      <c r="I54" s="21"/>
      <c r="J54" s="23">
        <v>9.8623848022452965</v>
      </c>
      <c r="L54" s="9"/>
      <c r="M54" s="15"/>
      <c r="N54" s="73"/>
      <c r="O54" s="94"/>
      <c r="P54" s="73"/>
      <c r="Q54" s="94"/>
      <c r="R54" s="13"/>
      <c r="S54" s="69"/>
      <c r="T54" s="13"/>
    </row>
    <row r="55" spans="1:22" s="144" customFormat="1" x14ac:dyDescent="0.3">
      <c r="A55" s="2"/>
      <c r="B55" s="9" t="s">
        <v>11</v>
      </c>
      <c r="C55" s="109"/>
      <c r="D55" s="116">
        <v>245840.826</v>
      </c>
      <c r="E55" s="109"/>
      <c r="F55" s="116">
        <v>11176.325999999999</v>
      </c>
      <c r="G55" s="94"/>
      <c r="H55" s="23">
        <v>4.5461635407944812</v>
      </c>
      <c r="I55" s="21"/>
      <c r="J55" s="23">
        <v>9.504963196301377</v>
      </c>
      <c r="L55" s="9"/>
      <c r="M55" s="15"/>
      <c r="N55" s="73"/>
      <c r="O55" s="15"/>
      <c r="P55" s="73"/>
      <c r="Q55" s="94"/>
      <c r="R55" s="13"/>
      <c r="S55" s="69"/>
      <c r="T55" s="13"/>
    </row>
    <row r="56" spans="1:22" s="144" customFormat="1" x14ac:dyDescent="0.3">
      <c r="A56" s="2"/>
      <c r="B56" s="9" t="s">
        <v>12</v>
      </c>
      <c r="C56" s="109"/>
      <c r="D56" s="116">
        <v>239525.75399999999</v>
      </c>
      <c r="E56" s="98"/>
      <c r="F56" s="116">
        <v>10310.018</v>
      </c>
      <c r="G56" s="94"/>
      <c r="H56" s="23">
        <v>4.3043463292886663</v>
      </c>
      <c r="I56" s="21"/>
      <c r="J56" s="23">
        <v>8.768207158882511</v>
      </c>
      <c r="L56" s="9"/>
      <c r="M56" s="15"/>
      <c r="N56" s="73"/>
      <c r="O56" s="94"/>
      <c r="P56" s="73"/>
      <c r="Q56" s="94"/>
      <c r="R56" s="13"/>
      <c r="S56" s="69"/>
      <c r="T56" s="13"/>
    </row>
    <row r="57" spans="1:22" s="144" customFormat="1" x14ac:dyDescent="0.3">
      <c r="A57" s="2"/>
      <c r="B57" s="9" t="s">
        <v>13</v>
      </c>
      <c r="C57" s="109"/>
      <c r="D57" s="116">
        <v>225496.674</v>
      </c>
      <c r="E57" s="98"/>
      <c r="F57" s="116">
        <v>9262.5149999999994</v>
      </c>
      <c r="G57" s="94"/>
      <c r="H57" s="23">
        <v>4.1076060394575924</v>
      </c>
      <c r="I57" s="21"/>
      <c r="J57" s="23">
        <v>7.8773529136667495</v>
      </c>
      <c r="L57" s="9"/>
      <c r="M57" s="15"/>
      <c r="N57" s="73"/>
      <c r="O57" s="94"/>
      <c r="P57" s="73"/>
      <c r="Q57" s="94"/>
      <c r="R57" s="13"/>
      <c r="S57" s="69"/>
      <c r="T57" s="13"/>
    </row>
    <row r="58" spans="1:22" s="144" customFormat="1" x14ac:dyDescent="0.3">
      <c r="A58" s="2"/>
      <c r="B58" s="9" t="s">
        <v>14</v>
      </c>
      <c r="C58" s="109"/>
      <c r="D58" s="116">
        <v>200969.73499999999</v>
      </c>
      <c r="E58" s="98"/>
      <c r="F58" s="116">
        <v>8310.0010000000002</v>
      </c>
      <c r="G58" s="94"/>
      <c r="H58" s="23">
        <v>4.1349514642092755</v>
      </c>
      <c r="I58" s="21"/>
      <c r="J58" s="23">
        <v>7.0672825458229882</v>
      </c>
      <c r="L58" s="9"/>
      <c r="M58" s="15"/>
      <c r="N58" s="73"/>
      <c r="O58" s="94"/>
      <c r="P58" s="73"/>
      <c r="Q58" s="94"/>
      <c r="R58" s="13"/>
      <c r="S58" s="69"/>
      <c r="T58" s="13"/>
    </row>
    <row r="59" spans="1:22" s="144" customFormat="1" x14ac:dyDescent="0.3">
      <c r="A59" s="2"/>
      <c r="B59" s="9" t="s">
        <v>15</v>
      </c>
      <c r="C59" s="109"/>
      <c r="D59" s="116">
        <v>171820.00099999999</v>
      </c>
      <c r="E59" s="109"/>
      <c r="F59" s="116">
        <v>7272.5540000000001</v>
      </c>
      <c r="G59" s="94"/>
      <c r="H59" s="23">
        <v>4.2326585715710712</v>
      </c>
      <c r="I59" s="21"/>
      <c r="J59" s="23">
        <v>6.1849804768681915</v>
      </c>
      <c r="L59" s="9"/>
      <c r="M59" s="15"/>
      <c r="N59" s="73"/>
      <c r="O59" s="15"/>
      <c r="P59" s="73"/>
      <c r="Q59" s="94"/>
      <c r="R59" s="13"/>
      <c r="S59" s="69"/>
      <c r="T59" s="13"/>
    </row>
    <row r="60" spans="1:22" s="144" customFormat="1" x14ac:dyDescent="0.3">
      <c r="A60" s="2"/>
      <c r="B60" s="9" t="s">
        <v>16</v>
      </c>
      <c r="C60" s="109"/>
      <c r="D60" s="116">
        <v>149977.69699999999</v>
      </c>
      <c r="E60" s="98"/>
      <c r="F60" s="116">
        <v>6170.2340000000004</v>
      </c>
      <c r="G60" s="94"/>
      <c r="H60" s="23">
        <v>4.11410104530409</v>
      </c>
      <c r="I60" s="21"/>
      <c r="J60" s="23">
        <v>5.2475068356602552</v>
      </c>
      <c r="L60" s="9"/>
      <c r="M60" s="15"/>
      <c r="N60" s="73"/>
      <c r="O60" s="94"/>
      <c r="P60" s="73"/>
      <c r="Q60" s="94"/>
      <c r="R60" s="13"/>
      <c r="S60" s="69"/>
      <c r="T60" s="13"/>
    </row>
    <row r="61" spans="1:22" s="144" customFormat="1" x14ac:dyDescent="0.3">
      <c r="A61" s="2"/>
      <c r="B61" s="147" t="s">
        <v>79</v>
      </c>
      <c r="C61" s="109"/>
      <c r="D61" s="116">
        <v>112427.908</v>
      </c>
      <c r="E61" s="109"/>
      <c r="F61" s="116">
        <v>4813.018</v>
      </c>
      <c r="G61" s="94"/>
      <c r="H61" s="23">
        <v>4.2809815513066383</v>
      </c>
      <c r="I61" s="21"/>
      <c r="J61" s="23">
        <v>4.0932555969766868</v>
      </c>
      <c r="L61" s="9"/>
      <c r="M61" s="15"/>
      <c r="N61" s="73"/>
      <c r="O61" s="15"/>
      <c r="P61" s="73"/>
      <c r="Q61" s="94"/>
      <c r="R61" s="13"/>
      <c r="S61" s="69"/>
      <c r="T61" s="13"/>
    </row>
    <row r="62" spans="1:22" s="144" customFormat="1" x14ac:dyDescent="0.3">
      <c r="A62" s="2"/>
      <c r="B62" s="147" t="s">
        <v>80</v>
      </c>
      <c r="C62" s="109"/>
      <c r="D62" s="116">
        <v>82024.376000000004</v>
      </c>
      <c r="E62" s="109"/>
      <c r="F62" s="116">
        <v>4214.2510000000002</v>
      </c>
      <c r="G62" s="94"/>
      <c r="H62" s="23">
        <v>5.1378031818248759</v>
      </c>
      <c r="I62" s="21"/>
      <c r="J62" s="23">
        <v>3.5840311614904827</v>
      </c>
      <c r="L62" s="9"/>
      <c r="M62" s="15"/>
      <c r="N62" s="73"/>
      <c r="O62" s="15"/>
      <c r="P62" s="73"/>
      <c r="Q62" s="94"/>
      <c r="R62" s="13"/>
      <c r="S62" s="69"/>
      <c r="T62" s="13"/>
    </row>
    <row r="63" spans="1:22" s="144" customFormat="1" x14ac:dyDescent="0.3">
      <c r="A63" s="2"/>
      <c r="B63" s="147" t="s">
        <v>81</v>
      </c>
      <c r="C63" s="109"/>
      <c r="D63" s="116">
        <v>141053.83999999997</v>
      </c>
      <c r="E63" s="109"/>
      <c r="F63" s="116">
        <v>8026.7560000000003</v>
      </c>
      <c r="G63" s="94"/>
      <c r="H63" s="23">
        <v>5.6905618450373296</v>
      </c>
      <c r="I63" s="21"/>
      <c r="J63" s="23">
        <v>6.8263953973507281</v>
      </c>
      <c r="L63" s="9"/>
      <c r="M63" s="15"/>
      <c r="N63" s="73"/>
      <c r="O63" s="15"/>
      <c r="P63" s="73"/>
      <c r="Q63" s="94"/>
      <c r="R63" s="13"/>
      <c r="S63" s="69"/>
      <c r="T63" s="13"/>
    </row>
    <row r="64" spans="1:22" ht="15" thickBot="1" x14ac:dyDescent="0.35">
      <c r="B64" s="54"/>
      <c r="C64" s="54"/>
      <c r="D64" s="20"/>
      <c r="E64" s="20"/>
      <c r="F64" s="20"/>
      <c r="G64" s="20"/>
      <c r="H64" s="53"/>
      <c r="I64" s="53"/>
      <c r="J64" s="20"/>
    </row>
    <row r="65" spans="2:10" ht="5.25" customHeight="1" x14ac:dyDescent="0.3">
      <c r="B65" s="33"/>
      <c r="C65" s="33"/>
      <c r="D65" s="33"/>
      <c r="E65" s="33"/>
      <c r="F65" s="33"/>
      <c r="G65" s="33"/>
      <c r="H65" s="70"/>
      <c r="I65" s="70"/>
      <c r="J65" s="70"/>
    </row>
    <row r="66" spans="2:10" ht="24.75" customHeight="1" x14ac:dyDescent="0.3">
      <c r="B66" s="255" t="s">
        <v>107</v>
      </c>
      <c r="C66" s="255"/>
      <c r="D66" s="255"/>
      <c r="E66" s="255"/>
      <c r="F66" s="255"/>
      <c r="G66" s="255"/>
      <c r="H66" s="255"/>
      <c r="I66" s="255"/>
      <c r="J66" s="255"/>
    </row>
    <row r="67" spans="2:10" ht="23.25" customHeight="1" x14ac:dyDescent="0.3">
      <c r="B67" s="229" t="s">
        <v>121</v>
      </c>
      <c r="C67" s="229"/>
      <c r="D67" s="229"/>
      <c r="E67" s="229"/>
      <c r="F67" s="229"/>
      <c r="G67" s="229"/>
      <c r="H67" s="229"/>
      <c r="I67" s="229"/>
      <c r="J67" s="229"/>
    </row>
    <row r="68" spans="2:10" ht="25.5" customHeight="1" x14ac:dyDescent="0.3">
      <c r="B68" s="255" t="s">
        <v>82</v>
      </c>
      <c r="C68" s="255"/>
      <c r="D68" s="255"/>
      <c r="E68" s="255"/>
      <c r="F68" s="255"/>
      <c r="G68" s="255"/>
      <c r="H68" s="255"/>
      <c r="I68" s="255"/>
      <c r="J68" s="255"/>
    </row>
    <row r="69" spans="2:10" x14ac:dyDescent="0.3">
      <c r="B69" s="264"/>
      <c r="C69" s="264"/>
      <c r="D69" s="264"/>
      <c r="E69" s="264"/>
      <c r="F69" s="264"/>
      <c r="G69" s="264"/>
      <c r="H69" s="264"/>
      <c r="I69" s="264"/>
      <c r="J69" s="264"/>
    </row>
    <row r="70" spans="2:10" x14ac:dyDescent="0.3">
      <c r="D70" s="1"/>
      <c r="E70" s="1"/>
      <c r="F70" s="1"/>
      <c r="G70" s="1"/>
    </row>
    <row r="72" spans="2:10" ht="25.8" x14ac:dyDescent="0.3">
      <c r="F72" s="175"/>
      <c r="G72" s="175"/>
      <c r="H72" s="175"/>
      <c r="I72" s="175"/>
      <c r="J72" s="175"/>
    </row>
    <row r="73" spans="2:10" x14ac:dyDescent="0.3">
      <c r="C73" s="2"/>
      <c r="D73" s="2"/>
      <c r="E73" s="2"/>
      <c r="F73" s="2"/>
      <c r="G73" s="2"/>
    </row>
  </sheetData>
  <mergeCells count="12">
    <mergeCell ref="D2:J3"/>
    <mergeCell ref="B4:B5"/>
    <mergeCell ref="D4:D5"/>
    <mergeCell ref="F4:F5"/>
    <mergeCell ref="H4:H5"/>
    <mergeCell ref="J4:J5"/>
    <mergeCell ref="N5:P5"/>
    <mergeCell ref="R5:T5"/>
    <mergeCell ref="B67:J67"/>
    <mergeCell ref="B69:J69"/>
    <mergeCell ref="B68:J68"/>
    <mergeCell ref="B66:J66"/>
  </mergeCells>
  <hyperlinks>
    <hyperlink ref="B68" r:id="rId1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zoomScaleNormal="100" workbookViewId="0"/>
  </sheetViews>
  <sheetFormatPr baseColWidth="10" defaultColWidth="11.44140625" defaultRowHeight="14.4" x14ac:dyDescent="0.3"/>
  <cols>
    <col min="1" max="1" width="2.6640625" style="144" customWidth="1"/>
    <col min="2" max="2" width="6.88671875" style="144" customWidth="1"/>
    <col min="3" max="3" width="18.5546875" style="144" customWidth="1"/>
    <col min="4" max="4" width="25.5546875" style="144" customWidth="1"/>
    <col min="5" max="6" width="12.6640625" style="144" customWidth="1"/>
    <col min="7" max="16384" width="11.44140625" style="144"/>
  </cols>
  <sheetData>
    <row r="1" spans="1:6" ht="15" customHeight="1" x14ac:dyDescent="0.3">
      <c r="A1" s="146"/>
      <c r="B1" s="146"/>
      <c r="C1" s="215"/>
      <c r="D1" s="247" t="s">
        <v>110</v>
      </c>
      <c r="E1" s="247"/>
      <c r="F1" s="247"/>
    </row>
    <row r="2" spans="1:6" ht="15" customHeight="1" x14ac:dyDescent="0.3">
      <c r="A2" s="146"/>
      <c r="B2" s="146"/>
      <c r="C2" s="215"/>
      <c r="D2" s="247"/>
      <c r="E2" s="247"/>
      <c r="F2" s="247"/>
    </row>
    <row r="3" spans="1:6" ht="15" customHeight="1" x14ac:dyDescent="0.3">
      <c r="A3" s="146"/>
      <c r="B3" s="146"/>
      <c r="C3" s="215"/>
      <c r="D3" s="247"/>
      <c r="E3" s="247"/>
      <c r="F3" s="247"/>
    </row>
    <row r="4" spans="1:6" ht="34.5" customHeight="1" x14ac:dyDescent="0.3">
      <c r="A4" s="146"/>
      <c r="B4" s="146"/>
      <c r="C4" s="216"/>
      <c r="D4" s="268"/>
      <c r="E4" s="268"/>
      <c r="F4" s="268"/>
    </row>
    <row r="5" spans="1:6" s="193" customFormat="1" ht="27.6" x14ac:dyDescent="0.3">
      <c r="B5" s="210" t="s">
        <v>104</v>
      </c>
      <c r="C5" s="210" t="s">
        <v>85</v>
      </c>
      <c r="D5" s="211" t="s">
        <v>83</v>
      </c>
      <c r="E5" s="211" t="s">
        <v>108</v>
      </c>
      <c r="F5" s="212" t="s">
        <v>109</v>
      </c>
    </row>
    <row r="6" spans="1:6" s="194" customFormat="1" ht="15.6" x14ac:dyDescent="0.3">
      <c r="B6" s="213">
        <v>1</v>
      </c>
      <c r="C6" s="209" t="s">
        <v>53</v>
      </c>
      <c r="D6" s="209" t="s">
        <v>84</v>
      </c>
      <c r="E6" s="220">
        <v>12050.031000000001</v>
      </c>
      <c r="F6" s="214">
        <v>4.9446119535148911</v>
      </c>
    </row>
    <row r="7" spans="1:6" s="194" customFormat="1" ht="15.6" x14ac:dyDescent="0.3">
      <c r="B7" s="213">
        <v>2</v>
      </c>
      <c r="C7" s="209" t="s">
        <v>30</v>
      </c>
      <c r="D7" s="209" t="s">
        <v>55</v>
      </c>
      <c r="E7" s="220">
        <v>3499.337</v>
      </c>
      <c r="F7" s="214">
        <v>1.4359185930373906</v>
      </c>
    </row>
    <row r="8" spans="1:6" s="194" customFormat="1" ht="15.6" x14ac:dyDescent="0.3">
      <c r="B8" s="213">
        <v>3</v>
      </c>
      <c r="C8" s="209" t="s">
        <v>24</v>
      </c>
      <c r="D8" s="209" t="s">
        <v>31</v>
      </c>
      <c r="E8" s="220">
        <v>3276.7579999999998</v>
      </c>
      <c r="F8" s="214">
        <v>1.3445854849315779</v>
      </c>
    </row>
    <row r="9" spans="1:6" s="194" customFormat="1" ht="15.6" x14ac:dyDescent="0.3">
      <c r="B9" s="213">
        <v>4</v>
      </c>
      <c r="C9" s="209" t="s">
        <v>31</v>
      </c>
      <c r="D9" s="209" t="s">
        <v>24</v>
      </c>
      <c r="E9" s="220">
        <v>3269.9920000000002</v>
      </c>
      <c r="F9" s="214">
        <v>1.3418091232377798</v>
      </c>
    </row>
    <row r="10" spans="1:6" s="194" customFormat="1" ht="15.6" x14ac:dyDescent="0.3">
      <c r="B10" s="213">
        <v>5</v>
      </c>
      <c r="C10" s="209" t="s">
        <v>54</v>
      </c>
      <c r="D10" s="209" t="s">
        <v>30</v>
      </c>
      <c r="E10" s="220">
        <v>3171.0219999999999</v>
      </c>
      <c r="F10" s="214">
        <v>1.3011977550977831</v>
      </c>
    </row>
    <row r="11" spans="1:6" s="194" customFormat="1" ht="15.6" x14ac:dyDescent="0.3">
      <c r="B11" s="213">
        <v>6</v>
      </c>
      <c r="C11" s="209" t="s">
        <v>66</v>
      </c>
      <c r="D11" s="209" t="s">
        <v>24</v>
      </c>
      <c r="E11" s="220">
        <v>2560.2689999999998</v>
      </c>
      <c r="F11" s="214">
        <v>1.0505812558999736</v>
      </c>
    </row>
    <row r="12" spans="1:6" s="194" customFormat="1" ht="15.6" x14ac:dyDescent="0.3">
      <c r="B12" s="213">
        <v>7</v>
      </c>
      <c r="C12" s="209" t="s">
        <v>24</v>
      </c>
      <c r="D12" s="209" t="s">
        <v>66</v>
      </c>
      <c r="E12" s="220">
        <v>2352.598</v>
      </c>
      <c r="F12" s="214">
        <v>0.96536549927674253</v>
      </c>
    </row>
    <row r="13" spans="1:6" s="194" customFormat="1" ht="15.6" x14ac:dyDescent="0.3">
      <c r="B13" s="213">
        <v>8</v>
      </c>
      <c r="C13" s="209" t="s">
        <v>52</v>
      </c>
      <c r="D13" s="209" t="s">
        <v>86</v>
      </c>
      <c r="E13" s="220">
        <v>2348.3690000000001</v>
      </c>
      <c r="F13" s="214">
        <v>0.96363017063307244</v>
      </c>
    </row>
    <row r="14" spans="1:6" s="194" customFormat="1" ht="15.6" x14ac:dyDescent="0.3">
      <c r="B14" s="213">
        <v>9</v>
      </c>
      <c r="C14" s="209" t="s">
        <v>65</v>
      </c>
      <c r="D14" s="209" t="s">
        <v>87</v>
      </c>
      <c r="E14" s="220">
        <v>2307.7829999999999</v>
      </c>
      <c r="F14" s="214">
        <v>0.94697610387213582</v>
      </c>
    </row>
    <row r="15" spans="1:6" s="194" customFormat="1" ht="15.6" x14ac:dyDescent="0.3">
      <c r="B15" s="213">
        <v>10</v>
      </c>
      <c r="C15" s="209" t="s">
        <v>60</v>
      </c>
      <c r="D15" s="209" t="s">
        <v>35</v>
      </c>
      <c r="E15" s="220">
        <v>2023.077</v>
      </c>
      <c r="F15" s="214">
        <v>0.83014979107365328</v>
      </c>
    </row>
    <row r="16" spans="1:6" s="194" customFormat="1" ht="15.6" x14ac:dyDescent="0.3">
      <c r="B16" s="213">
        <v>11</v>
      </c>
      <c r="C16" s="209" t="s">
        <v>65</v>
      </c>
      <c r="D16" s="209" t="s">
        <v>84</v>
      </c>
      <c r="E16" s="220">
        <v>2103.5509999999999</v>
      </c>
      <c r="F16" s="214">
        <v>0.86317150714618107</v>
      </c>
    </row>
    <row r="17" spans="2:6" s="194" customFormat="1" ht="15.6" x14ac:dyDescent="0.3">
      <c r="B17" s="213">
        <v>12</v>
      </c>
      <c r="C17" s="209" t="s">
        <v>30</v>
      </c>
      <c r="D17" s="209" t="s">
        <v>34</v>
      </c>
      <c r="E17" s="220">
        <v>2000.9079999999999</v>
      </c>
      <c r="F17" s="214">
        <v>0.82105295950554591</v>
      </c>
    </row>
    <row r="18" spans="2:6" s="194" customFormat="1" ht="15.6" x14ac:dyDescent="0.3">
      <c r="B18" s="213">
        <v>13</v>
      </c>
      <c r="C18" s="209" t="s">
        <v>94</v>
      </c>
      <c r="D18" s="209" t="s">
        <v>61</v>
      </c>
      <c r="E18" s="220">
        <v>1978.348</v>
      </c>
      <c r="F18" s="214">
        <v>0.81179568492498289</v>
      </c>
    </row>
    <row r="19" spans="2:6" s="194" customFormat="1" ht="15.6" x14ac:dyDescent="0.3">
      <c r="B19" s="213">
        <v>14</v>
      </c>
      <c r="C19" s="209" t="s">
        <v>93</v>
      </c>
      <c r="D19" s="209" t="s">
        <v>84</v>
      </c>
      <c r="E19" s="220">
        <v>1969.2860000000001</v>
      </c>
      <c r="F19" s="214">
        <v>0.80807718216571611</v>
      </c>
    </row>
    <row r="20" spans="2:6" s="194" customFormat="1" ht="15.6" x14ac:dyDescent="0.3">
      <c r="B20" s="213">
        <v>15</v>
      </c>
      <c r="C20" s="209" t="s">
        <v>58</v>
      </c>
      <c r="D20" s="209" t="s">
        <v>25</v>
      </c>
      <c r="E20" s="220">
        <v>1930.136</v>
      </c>
      <c r="F20" s="214">
        <v>0.79201236391088259</v>
      </c>
    </row>
    <row r="21" spans="2:6" s="194" customFormat="1" ht="15.6" x14ac:dyDescent="0.3">
      <c r="B21" s="213">
        <v>16</v>
      </c>
      <c r="C21" s="209" t="s">
        <v>56</v>
      </c>
      <c r="D21" s="209" t="s">
        <v>84</v>
      </c>
      <c r="E21" s="220">
        <v>1896.0309999999999</v>
      </c>
      <c r="F21" s="214">
        <v>0.77801771189093138</v>
      </c>
    </row>
    <row r="22" spans="2:6" s="194" customFormat="1" ht="15.6" x14ac:dyDescent="0.3">
      <c r="B22" s="213">
        <v>17</v>
      </c>
      <c r="C22" s="209" t="s">
        <v>93</v>
      </c>
      <c r="D22" s="209" t="s">
        <v>26</v>
      </c>
      <c r="E22" s="220">
        <v>1894.38</v>
      </c>
      <c r="F22" s="214">
        <v>0.77734024024498694</v>
      </c>
    </row>
    <row r="23" spans="2:6" s="194" customFormat="1" ht="15.6" x14ac:dyDescent="0.3">
      <c r="B23" s="213">
        <v>18</v>
      </c>
      <c r="C23" s="209" t="s">
        <v>95</v>
      </c>
      <c r="D23" s="209" t="s">
        <v>84</v>
      </c>
      <c r="E23" s="220">
        <v>1744.402</v>
      </c>
      <c r="F23" s="214">
        <v>0.71579823993276726</v>
      </c>
    </row>
    <row r="24" spans="2:6" s="194" customFormat="1" ht="15.6" x14ac:dyDescent="0.3">
      <c r="B24" s="213">
        <v>19</v>
      </c>
      <c r="C24" s="209" t="s">
        <v>57</v>
      </c>
      <c r="D24" s="209" t="s">
        <v>25</v>
      </c>
      <c r="E24" s="220">
        <v>1655.9960000000001</v>
      </c>
      <c r="F24" s="214">
        <v>0.67952170551037139</v>
      </c>
    </row>
    <row r="25" spans="2:6" s="194" customFormat="1" ht="15.6" x14ac:dyDescent="0.3">
      <c r="B25" s="213">
        <v>20</v>
      </c>
      <c r="C25" s="209" t="s">
        <v>96</v>
      </c>
      <c r="D25" s="209" t="s">
        <v>34</v>
      </c>
      <c r="E25" s="220">
        <v>1618.6869999999999</v>
      </c>
      <c r="F25" s="214">
        <v>0.66421232353669113</v>
      </c>
    </row>
    <row r="26" spans="2:6" x14ac:dyDescent="0.3">
      <c r="B26" s="195"/>
      <c r="C26" s="196"/>
      <c r="D26" s="197"/>
      <c r="E26" s="198"/>
      <c r="F26" s="198"/>
    </row>
    <row r="27" spans="2:6" ht="15.75" customHeight="1" x14ac:dyDescent="0.3">
      <c r="B27" s="266" t="s">
        <v>22</v>
      </c>
      <c r="C27" s="266"/>
      <c r="D27" s="199"/>
      <c r="E27" s="221">
        <v>55650.961000000003</v>
      </c>
      <c r="F27" s="200">
        <v>22.835825649344056</v>
      </c>
    </row>
    <row r="28" spans="2:6" x14ac:dyDescent="0.3">
      <c r="B28" s="267" t="s">
        <v>37</v>
      </c>
      <c r="C28" s="267"/>
      <c r="D28" s="201"/>
      <c r="E28" s="222">
        <v>188049.27499999999</v>
      </c>
      <c r="F28" s="202">
        <v>77.164174350655941</v>
      </c>
    </row>
    <row r="29" spans="2:6" x14ac:dyDescent="0.3">
      <c r="B29" s="265" t="s">
        <v>2</v>
      </c>
      <c r="C29" s="265"/>
      <c r="D29" s="203"/>
      <c r="E29" s="204">
        <v>243700.236</v>
      </c>
      <c r="F29" s="204">
        <v>100</v>
      </c>
    </row>
    <row r="30" spans="2:6" ht="15.6" x14ac:dyDescent="0.3">
      <c r="B30" s="205"/>
      <c r="C30" s="208"/>
      <c r="D30" s="206"/>
      <c r="E30" s="207"/>
      <c r="F30" s="207"/>
    </row>
    <row r="31" spans="2:6" ht="30" customHeight="1" x14ac:dyDescent="0.3">
      <c r="B31" s="229" t="s">
        <v>121</v>
      </c>
      <c r="C31" s="229"/>
      <c r="D31" s="229"/>
      <c r="E31" s="229"/>
      <c r="F31" s="229"/>
    </row>
    <row r="32" spans="2:6" x14ac:dyDescent="0.3">
      <c r="B32" s="183" t="s">
        <v>82</v>
      </c>
      <c r="C32" s="183"/>
      <c r="D32" s="183"/>
      <c r="E32" s="183"/>
      <c r="F32" s="183"/>
    </row>
    <row r="33" spans="2:6" ht="15.6" x14ac:dyDescent="0.3">
      <c r="B33" s="193"/>
      <c r="C33" s="193"/>
      <c r="D33" s="193"/>
      <c r="E33" s="193"/>
      <c r="F33" s="193"/>
    </row>
  </sheetData>
  <mergeCells count="5">
    <mergeCell ref="B29:C29"/>
    <mergeCell ref="B27:C27"/>
    <mergeCell ref="B28:C28"/>
    <mergeCell ref="B31:F31"/>
    <mergeCell ref="D1:F4"/>
  </mergeCells>
  <hyperlinks>
    <hyperlink ref="B3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1.1. Pob.mun. y tot. mig</vt:lpstr>
      <vt:lpstr>1.2. Tasas crecimiento inmi.</vt:lpstr>
      <vt:lpstr>1.3. Inmig prin.</vt:lpstr>
      <vt:lpstr>1.4. Emig. prin.</vt:lpstr>
      <vt:lpstr>1.5. Sexo y edad</vt:lpstr>
      <vt:lpstr>1.6. Stock migratorio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 Servicio Social 01</dc:creator>
  <cp:lastModifiedBy>WIXI</cp:lastModifiedBy>
  <dcterms:created xsi:type="dcterms:W3CDTF">2015-07-17T14:22:37Z</dcterms:created>
  <dcterms:modified xsi:type="dcterms:W3CDTF">2017-08-18T16:55:04Z</dcterms:modified>
</cp:coreProperties>
</file>